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9"/>
  </bookViews>
  <sheets>
    <sheet name="січень 2020р." sheetId="1" r:id="rId1"/>
    <sheet name="лютий 2020р." sheetId="2" r:id="rId2"/>
    <sheet name="березень 2020р." sheetId="3" r:id="rId3"/>
    <sheet name="квітень 2020р." sheetId="4" r:id="rId4"/>
    <sheet name="травень 2020р." sheetId="5" r:id="rId5"/>
    <sheet name="червень 2020р." sheetId="6" r:id="rId6"/>
    <sheet name="липень 2020р." sheetId="7" r:id="rId7"/>
    <sheet name="серпень 2020р." sheetId="8" r:id="rId8"/>
    <sheet name="вересень 2020р." sheetId="9" r:id="rId9"/>
    <sheet name="жовтень 2020 р." sheetId="10" r:id="rId10"/>
    <sheet name="листопад 2019р." sheetId="11" r:id="rId11"/>
    <sheet name="грудень 2019р." sheetId="12" r:id="rId12"/>
    <sheet name="І квартал 2020р." sheetId="13" r:id="rId13"/>
    <sheet name="ІІ квартал 2020р. " sheetId="14" r:id="rId14"/>
    <sheet name="ІІІ квартал 2020р." sheetId="15" r:id="rId15"/>
  </sheets>
  <definedNames/>
  <calcPr fullCalcOnLoad="1"/>
</workbook>
</file>

<file path=xl/sharedStrings.xml><?xml version="1.0" encoding="utf-8"?>
<sst xmlns="http://schemas.openxmlformats.org/spreadsheetml/2006/main" count="1029" uniqueCount="213">
  <si>
    <t>Додаток 1</t>
  </si>
  <si>
    <t>Виконання натуральних норм продуктів харчування у</t>
  </si>
  <si>
    <t>Дитячому будинку «Центр захисту дітей» м.Славутич</t>
  </si>
  <si>
    <t>Назва основних продуктів</t>
  </si>
  <si>
    <t>М’ясо, птиця</t>
  </si>
  <si>
    <t xml:space="preserve">Ковбаса вар., ковбаса п/к </t>
  </si>
  <si>
    <t>Риба, рибопродукти</t>
  </si>
  <si>
    <t>Яйця</t>
  </si>
  <si>
    <t>Молоко, кефір, йогурт</t>
  </si>
  <si>
    <t>Сир твердий</t>
  </si>
  <si>
    <t>Сир кисломолочний</t>
  </si>
  <si>
    <t>Сметана</t>
  </si>
  <si>
    <t>Масло вершкове</t>
  </si>
  <si>
    <t>Олія</t>
  </si>
  <si>
    <t>Цукор</t>
  </si>
  <si>
    <t>Овочі різні</t>
  </si>
  <si>
    <t>Картопля</t>
  </si>
  <si>
    <t>Крупи, бобові, макаронні вироби</t>
  </si>
  <si>
    <t>Сік</t>
  </si>
  <si>
    <t>Фрукти, цитрусові</t>
  </si>
  <si>
    <t>Сухофрукти</t>
  </si>
  <si>
    <t>Хліб</t>
  </si>
  <si>
    <t>Батон</t>
  </si>
  <si>
    <t>Кондитерські вироби</t>
  </si>
  <si>
    <t>Борошно</t>
  </si>
  <si>
    <t>Норма (г)</t>
  </si>
  <si>
    <t>Фактично використано</t>
  </si>
  <si>
    <t>+, - до норми (г)</t>
  </si>
  <si>
    <t>=</t>
  </si>
  <si>
    <t>% виконання норми</t>
  </si>
  <si>
    <t xml:space="preserve"> </t>
  </si>
  <si>
    <t>Додаток 2</t>
  </si>
  <si>
    <t>Вартість харчування однієї дитини в день</t>
  </si>
  <si>
    <t>у дитячому будинку м.Славутич</t>
  </si>
  <si>
    <t>+1</t>
  </si>
  <si>
    <t>+6</t>
  </si>
  <si>
    <t>+11</t>
  </si>
  <si>
    <t>+2</t>
  </si>
  <si>
    <t>+8</t>
  </si>
  <si>
    <t>+3</t>
  </si>
  <si>
    <t>+12</t>
  </si>
  <si>
    <t>+10</t>
  </si>
  <si>
    <t>-2</t>
  </si>
  <si>
    <t>-15</t>
  </si>
  <si>
    <t>-35</t>
  </si>
  <si>
    <t>Загальна вартість</t>
  </si>
  <si>
    <t>Вартість у вихідні, святкові та</t>
  </si>
  <si>
    <t>канікулярні дні</t>
  </si>
  <si>
    <t>-6</t>
  </si>
  <si>
    <t>+19</t>
  </si>
  <si>
    <t>+13</t>
  </si>
  <si>
    <t>+24</t>
  </si>
  <si>
    <t>+9</t>
  </si>
  <si>
    <t>+4</t>
  </si>
  <si>
    <t>+16</t>
  </si>
  <si>
    <t>-3</t>
  </si>
  <si>
    <t>-17</t>
  </si>
  <si>
    <t>+7</t>
  </si>
  <si>
    <t>Ясельний вік</t>
  </si>
  <si>
    <t>-</t>
  </si>
  <si>
    <t>+29</t>
  </si>
  <si>
    <t>-10</t>
  </si>
  <si>
    <t>+36</t>
  </si>
  <si>
    <t>+34</t>
  </si>
  <si>
    <t>-1</t>
  </si>
  <si>
    <t>+21</t>
  </si>
  <si>
    <t>Вартість у неділю, святкові та</t>
  </si>
  <si>
    <t>-22</t>
  </si>
  <si>
    <t>+25</t>
  </si>
  <si>
    <t>+5</t>
  </si>
  <si>
    <t>+33</t>
  </si>
  <si>
    <t>+42</t>
  </si>
  <si>
    <t>+20</t>
  </si>
  <si>
    <t>+15</t>
  </si>
  <si>
    <t>Шкільний вік 13 - 18р.</t>
  </si>
  <si>
    <t>-66</t>
  </si>
  <si>
    <t>-13</t>
  </si>
  <si>
    <t>+18</t>
  </si>
  <si>
    <t>-7</t>
  </si>
  <si>
    <t>+23</t>
  </si>
  <si>
    <t>Всього</t>
  </si>
  <si>
    <t>-34</t>
  </si>
  <si>
    <t>-23</t>
  </si>
  <si>
    <t>+45</t>
  </si>
  <si>
    <t>+14</t>
  </si>
  <si>
    <t>+75</t>
  </si>
  <si>
    <t>+119</t>
  </si>
  <si>
    <t>+22</t>
  </si>
  <si>
    <t>+30</t>
  </si>
  <si>
    <t>+28</t>
  </si>
  <si>
    <t>-14</t>
  </si>
  <si>
    <t xml:space="preserve">Шкільний вік 10 - 13р. </t>
  </si>
  <si>
    <t>82грн 71коп + 25грн 00коп(ЗЗСО)</t>
  </si>
  <si>
    <t>118грн 48коп</t>
  </si>
  <si>
    <t>122грн 95коп</t>
  </si>
  <si>
    <t>86грн 77коп +25грн 00коп (ЗЗСО)</t>
  </si>
  <si>
    <t>-27</t>
  </si>
  <si>
    <t>за листопад 2019р.</t>
  </si>
  <si>
    <t xml:space="preserve">за листопад 2019 р. </t>
  </si>
  <si>
    <t>-37</t>
  </si>
  <si>
    <t>+74</t>
  </si>
  <si>
    <t>+104</t>
  </si>
  <si>
    <t>-21</t>
  </si>
  <si>
    <t>+250</t>
  </si>
  <si>
    <t>+388</t>
  </si>
  <si>
    <t xml:space="preserve">за грудень 2019 р. </t>
  </si>
  <si>
    <t>+27</t>
  </si>
  <si>
    <t>-11</t>
  </si>
  <si>
    <t>+44</t>
  </si>
  <si>
    <t>-73</t>
  </si>
  <si>
    <t>+51</t>
  </si>
  <si>
    <t>+84</t>
  </si>
  <si>
    <t>+175</t>
  </si>
  <si>
    <t>-46</t>
  </si>
  <si>
    <t>+372</t>
  </si>
  <si>
    <t>за грудень 2019р.</t>
  </si>
  <si>
    <t xml:space="preserve">за січень 2020 р. </t>
  </si>
  <si>
    <t>+79</t>
  </si>
  <si>
    <t>-8</t>
  </si>
  <si>
    <t>-9</t>
  </si>
  <si>
    <t>+506</t>
  </si>
  <si>
    <t>з 01 по 19 січня 2020р.</t>
  </si>
  <si>
    <t>з 20 січня 2020р.</t>
  </si>
  <si>
    <t>66грн 02коп + 25грн 00коп(ЗЗСО)</t>
  </si>
  <si>
    <t>100грн 12коп</t>
  </si>
  <si>
    <t>69грн 89коп +25грн 00коп (ЗЗСО)</t>
  </si>
  <si>
    <t>104грн 38коп</t>
  </si>
  <si>
    <t xml:space="preserve">за лютий 2020 р. </t>
  </si>
  <si>
    <t>-39</t>
  </si>
  <si>
    <t>-68</t>
  </si>
  <si>
    <t>-126</t>
  </si>
  <si>
    <t>-60</t>
  </si>
  <si>
    <t>-262</t>
  </si>
  <si>
    <t>за лютий 2020р.</t>
  </si>
  <si>
    <t xml:space="preserve">за березень 2020 р. </t>
  </si>
  <si>
    <t>-26</t>
  </si>
  <si>
    <t>-121</t>
  </si>
  <si>
    <t>-18</t>
  </si>
  <si>
    <t>-99</t>
  </si>
  <si>
    <t xml:space="preserve">40 грн 94 коп </t>
  </si>
  <si>
    <t>45 грн 03 коп.</t>
  </si>
  <si>
    <t>за березень 2020р.</t>
  </si>
  <si>
    <t>за І квартал 2020 р.</t>
  </si>
  <si>
    <t>-85</t>
  </si>
  <si>
    <t>+47</t>
  </si>
  <si>
    <t>за І квартал 2020р.</t>
  </si>
  <si>
    <t>78грн 54коп + 25грн 00коп(ЗЗСО)</t>
  </si>
  <si>
    <t>104грн 71коп</t>
  </si>
  <si>
    <t>72грн 70коп +25грн 00коп (ЗЗСО)</t>
  </si>
  <si>
    <t>107грн 47коп</t>
  </si>
  <si>
    <t xml:space="preserve">за квітень 2020 р. </t>
  </si>
  <si>
    <t>-4</t>
  </si>
  <si>
    <t>-78</t>
  </si>
  <si>
    <t>+66</t>
  </si>
  <si>
    <t>Хліб житній</t>
  </si>
  <si>
    <t>+56</t>
  </si>
  <si>
    <t>за квітень 2020р.</t>
  </si>
  <si>
    <t xml:space="preserve">за травень 2020 р. </t>
  </si>
  <si>
    <t>-16</t>
  </si>
  <si>
    <t>-96</t>
  </si>
  <si>
    <t>+62</t>
  </si>
  <si>
    <t>за травень 2020р.</t>
  </si>
  <si>
    <t xml:space="preserve">за червень 2020 р. </t>
  </si>
  <si>
    <t>+43</t>
  </si>
  <si>
    <t>+49</t>
  </si>
  <si>
    <t>-36</t>
  </si>
  <si>
    <t>-33</t>
  </si>
  <si>
    <t>+271</t>
  </si>
  <si>
    <t>за червень 2020р.</t>
  </si>
  <si>
    <t xml:space="preserve">за липень 2020 р. </t>
  </si>
  <si>
    <t>+102</t>
  </si>
  <si>
    <t>-24</t>
  </si>
  <si>
    <t>+17</t>
  </si>
  <si>
    <t>+82</t>
  </si>
  <si>
    <t>+26</t>
  </si>
  <si>
    <t>+109</t>
  </si>
  <si>
    <t>+278</t>
  </si>
  <si>
    <t>за липень 2020р.</t>
  </si>
  <si>
    <t>за ІІ квартал 2020 р.</t>
  </si>
  <si>
    <t>-64</t>
  </si>
  <si>
    <t>-19</t>
  </si>
  <si>
    <t>+129</t>
  </si>
  <si>
    <t xml:space="preserve">за серпень 2020 р. </t>
  </si>
  <si>
    <t>+90</t>
  </si>
  <si>
    <t>-52</t>
  </si>
  <si>
    <t>+115</t>
  </si>
  <si>
    <t>-70</t>
  </si>
  <si>
    <t>-29</t>
  </si>
  <si>
    <t>-135</t>
  </si>
  <si>
    <t>+40</t>
  </si>
  <si>
    <t>за серпень 2020р.</t>
  </si>
  <si>
    <t>21грн 00коп</t>
  </si>
  <si>
    <t xml:space="preserve">за вересень 2020 р. </t>
  </si>
  <si>
    <t>-49</t>
  </si>
  <si>
    <t>-136</t>
  </si>
  <si>
    <t>-106</t>
  </si>
  <si>
    <t>за вересень 2020р.</t>
  </si>
  <si>
    <t>25грн 20коп</t>
  </si>
  <si>
    <t>за ІІІ квартал 2020 р.</t>
  </si>
  <si>
    <t>+48</t>
  </si>
  <si>
    <t>-32</t>
  </si>
  <si>
    <t>-45</t>
  </si>
  <si>
    <t>-12</t>
  </si>
  <si>
    <t>+59</t>
  </si>
  <si>
    <t>+89</t>
  </si>
  <si>
    <t>за ІІІ квартал 2020р.</t>
  </si>
  <si>
    <t>з 1 міс. до 3 міс.</t>
  </si>
  <si>
    <t>з 4 міс. до 6 міс.</t>
  </si>
  <si>
    <t xml:space="preserve">за жовтень 2020 р. </t>
  </si>
  <si>
    <t>+88</t>
  </si>
  <si>
    <t>за жовтень 2020р.</t>
  </si>
  <si>
    <t>69грн 89коп+25грн 00коп (ЗЗСО)</t>
  </si>
  <si>
    <t>10грн 94 коп+30грн 00коп (ДНЗ)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</si>
</sst>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186" fontId="0" fillId="0" borderId="0" xfId="16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6" fontId="2" fillId="0" borderId="1" xfId="16" applyFont="1" applyBorder="1" applyAlignment="1">
      <alignment horizontal="left"/>
    </xf>
    <xf numFmtId="186" fontId="2" fillId="0" borderId="8" xfId="16" applyFont="1" applyBorder="1" applyAlignment="1">
      <alignment horizontal="left"/>
    </xf>
    <xf numFmtId="186" fontId="2" fillId="0" borderId="7" xfId="16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8">
      <selection activeCell="A50" sqref="A50:G53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116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239</v>
      </c>
      <c r="F8" s="13" t="s">
        <v>117</v>
      </c>
      <c r="G8" s="7">
        <f>239/160</f>
        <v>1.49375</v>
      </c>
    </row>
    <row r="9" spans="1:7" ht="15.75" customHeight="1">
      <c r="A9" s="34" t="s">
        <v>5</v>
      </c>
      <c r="B9" s="35"/>
      <c r="C9" s="35"/>
      <c r="D9" s="5">
        <v>25</v>
      </c>
      <c r="E9" s="4">
        <v>19</v>
      </c>
      <c r="F9" s="13" t="s">
        <v>48</v>
      </c>
      <c r="G9" s="7">
        <f>19/25</f>
        <v>0.76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102</v>
      </c>
      <c r="F10" s="13" t="s">
        <v>37</v>
      </c>
      <c r="G10" s="7">
        <v>1.02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61</v>
      </c>
      <c r="F11" s="13" t="s">
        <v>65</v>
      </c>
      <c r="G11" s="7">
        <f>61/40</f>
        <v>1.525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492</v>
      </c>
      <c r="F12" s="13" t="s">
        <v>118</v>
      </c>
      <c r="G12" s="7">
        <f>492/500</f>
        <v>0.984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25</v>
      </c>
      <c r="F13" s="13" t="s">
        <v>69</v>
      </c>
      <c r="G13" s="7">
        <f>25/20</f>
        <v>1.25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98</v>
      </c>
      <c r="F14" s="13" t="s">
        <v>89</v>
      </c>
      <c r="G14" s="7">
        <f>98/70</f>
        <v>1.4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32</v>
      </c>
      <c r="F15" s="13" t="s">
        <v>57</v>
      </c>
      <c r="G15" s="7">
        <f>32/25</f>
        <v>1.28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51</v>
      </c>
      <c r="F16" s="13" t="s">
        <v>34</v>
      </c>
      <c r="G16" s="7">
        <f>51/50</f>
        <v>1.02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32</v>
      </c>
      <c r="F17" s="13" t="s">
        <v>84</v>
      </c>
      <c r="G17" s="7">
        <f>32/18</f>
        <v>1.7777777777777777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91</v>
      </c>
      <c r="F18" s="13" t="s">
        <v>65</v>
      </c>
      <c r="G18" s="7">
        <f>91/70</f>
        <v>1.3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441</v>
      </c>
      <c r="F19" s="13" t="s">
        <v>119</v>
      </c>
      <c r="G19" s="7">
        <f>441/450</f>
        <v>0.98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474</v>
      </c>
      <c r="F20" s="13" t="s">
        <v>100</v>
      </c>
      <c r="G20" s="7">
        <f>474/400</f>
        <v>1.185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90</v>
      </c>
      <c r="F21" s="14" t="s">
        <v>41</v>
      </c>
      <c r="G21" s="9">
        <f>90/80</f>
        <v>1.125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304</v>
      </c>
      <c r="F22" s="13" t="s">
        <v>101</v>
      </c>
      <c r="G22" s="7">
        <f>304/200</f>
        <v>1.52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419</v>
      </c>
      <c r="F23" s="13" t="s">
        <v>86</v>
      </c>
      <c r="G23" s="7">
        <f>419/300</f>
        <v>1.3966666666666667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0</v>
      </c>
      <c r="F24" s="13" t="s">
        <v>43</v>
      </c>
      <c r="G24" s="7">
        <v>0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180</v>
      </c>
      <c r="F25" s="13" t="s">
        <v>28</v>
      </c>
      <c r="G25" s="7">
        <v>1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259</v>
      </c>
      <c r="F26" s="13" t="s">
        <v>60</v>
      </c>
      <c r="G26" s="7">
        <f>259/230</f>
        <v>1.126086956521739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37</v>
      </c>
      <c r="F27" s="15" t="s">
        <v>37</v>
      </c>
      <c r="G27" s="8">
        <f>37/35</f>
        <v>1.0571428571428572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73</v>
      </c>
      <c r="F28" s="13" t="s">
        <v>89</v>
      </c>
      <c r="G28" s="7">
        <f>73/45</f>
        <v>1.6222222222222222</v>
      </c>
    </row>
    <row r="29" spans="1:7" ht="15.75" customHeight="1">
      <c r="A29" s="43" t="s">
        <v>80</v>
      </c>
      <c r="B29" s="44"/>
      <c r="C29" s="45"/>
      <c r="D29" s="24">
        <f>SUM(D8:D28)</f>
        <v>3013</v>
      </c>
      <c r="E29" s="24">
        <f>SUM(E8:E28)</f>
        <v>3519</v>
      </c>
      <c r="F29" s="25" t="s">
        <v>120</v>
      </c>
      <c r="G29" s="26">
        <v>1.17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121</v>
      </c>
      <c r="F34" s="10"/>
    </row>
    <row r="36" spans="1:7" ht="15.75" customHeight="1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8.75" customHeight="1">
      <c r="A37" s="36"/>
      <c r="B37" s="36"/>
      <c r="C37" s="40"/>
      <c r="D37" s="41"/>
      <c r="E37" s="42"/>
      <c r="F37" s="29" t="s">
        <v>47</v>
      </c>
      <c r="G37" s="30"/>
    </row>
    <row r="38" spans="1:7" ht="15.75" customHeight="1">
      <c r="A38" s="31" t="s">
        <v>91</v>
      </c>
      <c r="B38" s="32"/>
      <c r="C38" s="31" t="s">
        <v>92</v>
      </c>
      <c r="D38" s="33"/>
      <c r="E38" s="32"/>
      <c r="F38" s="31" t="s">
        <v>93</v>
      </c>
      <c r="G38" s="32"/>
    </row>
    <row r="39" spans="1:7" ht="15.75" customHeight="1">
      <c r="A39" s="31" t="s">
        <v>74</v>
      </c>
      <c r="B39" s="32"/>
      <c r="C39" s="31" t="s">
        <v>95</v>
      </c>
      <c r="D39" s="33"/>
      <c r="E39" s="32"/>
      <c r="F39" s="31" t="s">
        <v>94</v>
      </c>
      <c r="G39" s="32"/>
    </row>
    <row r="46" spans="3:6" ht="15.75">
      <c r="C46" s="10"/>
      <c r="D46" s="10"/>
      <c r="E46" s="1" t="s">
        <v>32</v>
      </c>
      <c r="F46" s="10"/>
    </row>
    <row r="47" spans="3:6" ht="15.75">
      <c r="C47" s="10"/>
      <c r="D47" s="10"/>
      <c r="E47" s="1" t="s">
        <v>33</v>
      </c>
      <c r="F47" s="10"/>
    </row>
    <row r="48" spans="3:6" ht="15.75">
      <c r="C48" s="10"/>
      <c r="D48" s="10"/>
      <c r="E48" s="1" t="s">
        <v>122</v>
      </c>
      <c r="F48" s="10"/>
    </row>
    <row r="50" spans="1:7" ht="15.75">
      <c r="A50" s="36"/>
      <c r="B50" s="36"/>
      <c r="C50" s="37" t="s">
        <v>45</v>
      </c>
      <c r="D50" s="38"/>
      <c r="E50" s="39"/>
      <c r="F50" s="27" t="s">
        <v>66</v>
      </c>
      <c r="G50" s="28"/>
    </row>
    <row r="51" spans="1:7" ht="15.75">
      <c r="A51" s="36"/>
      <c r="B51" s="36"/>
      <c r="C51" s="40"/>
      <c r="D51" s="41"/>
      <c r="E51" s="42"/>
      <c r="F51" s="29" t="s">
        <v>47</v>
      </c>
      <c r="G51" s="30"/>
    </row>
    <row r="52" spans="1:7" ht="15.75">
      <c r="A52" s="31" t="s">
        <v>91</v>
      </c>
      <c r="B52" s="32"/>
      <c r="C52" s="31" t="s">
        <v>123</v>
      </c>
      <c r="D52" s="33"/>
      <c r="E52" s="32"/>
      <c r="F52" s="31" t="s">
        <v>124</v>
      </c>
      <c r="G52" s="32"/>
    </row>
    <row r="53" spans="1:7" ht="15.75">
      <c r="A53" s="31" t="s">
        <v>74</v>
      </c>
      <c r="B53" s="32"/>
      <c r="C53" s="31" t="s">
        <v>125</v>
      </c>
      <c r="D53" s="33"/>
      <c r="E53" s="32"/>
      <c r="F53" s="31" t="s">
        <v>126</v>
      </c>
      <c r="G53" s="32"/>
    </row>
  </sheetData>
  <mergeCells count="43">
    <mergeCell ref="A52:B52"/>
    <mergeCell ref="C52:E52"/>
    <mergeCell ref="F52:G52"/>
    <mergeCell ref="A53:B53"/>
    <mergeCell ref="C53:E53"/>
    <mergeCell ref="F53:G53"/>
    <mergeCell ref="A39:B39"/>
    <mergeCell ref="C39:E39"/>
    <mergeCell ref="F39:G39"/>
    <mergeCell ref="A50:B51"/>
    <mergeCell ref="C50:E51"/>
    <mergeCell ref="F50:G50"/>
    <mergeCell ref="F51:G51"/>
    <mergeCell ref="A11:C11"/>
    <mergeCell ref="A12:C12"/>
    <mergeCell ref="A13:C13"/>
    <mergeCell ref="A7:C7"/>
    <mergeCell ref="A8:C8"/>
    <mergeCell ref="A9:C9"/>
    <mergeCell ref="A10:C10"/>
    <mergeCell ref="A14:C14"/>
    <mergeCell ref="A23:C23"/>
    <mergeCell ref="A24:C24"/>
    <mergeCell ref="A25:C25"/>
    <mergeCell ref="A15:C15"/>
    <mergeCell ref="A16:C16"/>
    <mergeCell ref="A17:C17"/>
    <mergeCell ref="A18:C18"/>
    <mergeCell ref="A27:C27"/>
    <mergeCell ref="A28:C28"/>
    <mergeCell ref="A36:B37"/>
    <mergeCell ref="C36:E37"/>
    <mergeCell ref="A29:C29"/>
    <mergeCell ref="A26:C26"/>
    <mergeCell ref="A19:C19"/>
    <mergeCell ref="A20:C20"/>
    <mergeCell ref="A21:C21"/>
    <mergeCell ref="A22:C22"/>
    <mergeCell ref="F36:G36"/>
    <mergeCell ref="F37:G37"/>
    <mergeCell ref="A38:B38"/>
    <mergeCell ref="C38:E38"/>
    <mergeCell ref="F38:G3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2">
      <selection activeCell="E46" sqref="E46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208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163</v>
      </c>
      <c r="F8" s="13" t="s">
        <v>39</v>
      </c>
      <c r="G8" s="7">
        <f>163/160</f>
        <v>1.01875</v>
      </c>
    </row>
    <row r="9" spans="1:7" ht="15.75" customHeight="1">
      <c r="A9" s="34" t="s">
        <v>5</v>
      </c>
      <c r="B9" s="35"/>
      <c r="C9" s="35"/>
      <c r="D9" s="5">
        <v>25</v>
      </c>
      <c r="E9" s="4">
        <v>41</v>
      </c>
      <c r="F9" s="13" t="s">
        <v>54</v>
      </c>
      <c r="G9" s="7">
        <f>41/25</f>
        <v>1.64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79</v>
      </c>
      <c r="F10" s="13" t="s">
        <v>102</v>
      </c>
      <c r="G10" s="7">
        <v>0.79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38</v>
      </c>
      <c r="F11" s="13" t="s">
        <v>42</v>
      </c>
      <c r="G11" s="7">
        <f>38/40</f>
        <v>0.95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498</v>
      </c>
      <c r="F12" s="13" t="s">
        <v>42</v>
      </c>
      <c r="G12" s="7">
        <f>498/500</f>
        <v>0.996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25</v>
      </c>
      <c r="F13" s="13" t="s">
        <v>69</v>
      </c>
      <c r="G13" s="7">
        <f>25/20</f>
        <v>1.25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70</v>
      </c>
      <c r="F14" s="13" t="s">
        <v>28</v>
      </c>
      <c r="G14" s="7">
        <v>1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30</v>
      </c>
      <c r="F15" s="13" t="s">
        <v>69</v>
      </c>
      <c r="G15" s="7">
        <f>30/25</f>
        <v>1.2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53</v>
      </c>
      <c r="F16" s="13" t="s">
        <v>39</v>
      </c>
      <c r="G16" s="7">
        <f>53/50</f>
        <v>1.06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28</v>
      </c>
      <c r="F17" s="13" t="s">
        <v>41</v>
      </c>
      <c r="G17" s="7">
        <f>28/18</f>
        <v>1.5555555555555556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93</v>
      </c>
      <c r="F18" s="13" t="s">
        <v>79</v>
      </c>
      <c r="G18" s="7">
        <f>93/70</f>
        <v>1.3285714285714285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434</v>
      </c>
      <c r="F19" s="13" t="s">
        <v>158</v>
      </c>
      <c r="G19" s="7">
        <f>434/450</f>
        <v>0.9644444444444444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400</v>
      </c>
      <c r="F20" s="13" t="s">
        <v>28</v>
      </c>
      <c r="G20" s="7">
        <v>1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82</v>
      </c>
      <c r="F21" s="14" t="s">
        <v>37</v>
      </c>
      <c r="G21" s="9">
        <f>82/80</f>
        <v>1.025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207</v>
      </c>
      <c r="F22" s="13" t="s">
        <v>57</v>
      </c>
      <c r="G22" s="7">
        <f>207/200</f>
        <v>1.035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388</v>
      </c>
      <c r="F23" s="13" t="s">
        <v>209</v>
      </c>
      <c r="G23" s="7">
        <f>388/300</f>
        <v>1.2933333333333332</v>
      </c>
    </row>
    <row r="24" spans="1:7" ht="15.75" customHeight="1">
      <c r="A24" s="34" t="s">
        <v>20</v>
      </c>
      <c r="B24" s="35"/>
      <c r="C24" s="35"/>
      <c r="D24" s="5">
        <v>15</v>
      </c>
      <c r="E24" s="4" t="s">
        <v>59</v>
      </c>
      <c r="F24" s="13" t="s">
        <v>43</v>
      </c>
      <c r="G24" s="7">
        <v>0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147</v>
      </c>
      <c r="F25" s="13" t="s">
        <v>166</v>
      </c>
      <c r="G25" s="7">
        <f>147/180</f>
        <v>0.8166666666666667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245</v>
      </c>
      <c r="F26" s="13" t="s">
        <v>73</v>
      </c>
      <c r="G26" s="7">
        <f>245/230</f>
        <v>1.065217391304348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9</v>
      </c>
      <c r="F27" s="15" t="s">
        <v>135</v>
      </c>
      <c r="G27" s="8">
        <f>9/35</f>
        <v>0.2571428571428571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71</v>
      </c>
      <c r="F28" s="13" t="s">
        <v>174</v>
      </c>
      <c r="G28" s="7">
        <f>71/45</f>
        <v>1.5777777777777777</v>
      </c>
    </row>
    <row r="29" spans="1:7" ht="15.75" customHeight="1">
      <c r="A29" s="34" t="s">
        <v>80</v>
      </c>
      <c r="B29" s="35"/>
      <c r="C29" s="35"/>
      <c r="D29" s="5">
        <f>SUM(D8:D28)</f>
        <v>3013</v>
      </c>
      <c r="E29" s="4">
        <f>SUM(E8:E28)</f>
        <v>3101</v>
      </c>
      <c r="F29" s="13" t="s">
        <v>209</v>
      </c>
      <c r="G29" s="7">
        <f>3101/3013</f>
        <v>1.0292067706604713</v>
      </c>
    </row>
    <row r="30" spans="1:7" ht="15.75" customHeight="1">
      <c r="A30" s="18"/>
      <c r="B30" s="18"/>
      <c r="C30" s="18"/>
      <c r="D30" s="19"/>
      <c r="E30" s="20"/>
      <c r="F30" s="21"/>
      <c r="G30" s="22"/>
    </row>
    <row r="32" ht="15.75">
      <c r="G32" s="12" t="s">
        <v>31</v>
      </c>
    </row>
    <row r="33" spans="3:6" ht="15.75">
      <c r="C33" s="10"/>
      <c r="D33" s="10"/>
      <c r="E33" s="1" t="s">
        <v>32</v>
      </c>
      <c r="F33" s="10"/>
    </row>
    <row r="34" spans="3:6" ht="15.75">
      <c r="C34" s="10"/>
      <c r="D34" s="10"/>
      <c r="E34" s="1" t="s">
        <v>33</v>
      </c>
      <c r="F34" s="10"/>
    </row>
    <row r="35" spans="3:6" ht="15.75">
      <c r="C35" s="10"/>
      <c r="D35" s="10"/>
      <c r="E35" s="1" t="s">
        <v>210</v>
      </c>
      <c r="F35" s="10"/>
    </row>
    <row r="36" spans="3:6" ht="15.75">
      <c r="C36" s="10"/>
      <c r="D36" s="10"/>
      <c r="E36" s="1"/>
      <c r="F36" s="10"/>
    </row>
    <row r="37" spans="1:7" ht="15.75">
      <c r="A37" s="36"/>
      <c r="B37" s="36"/>
      <c r="C37" s="37" t="s">
        <v>45</v>
      </c>
      <c r="D37" s="38"/>
      <c r="E37" s="39"/>
      <c r="F37" s="27" t="s">
        <v>66</v>
      </c>
      <c r="G37" s="28"/>
    </row>
    <row r="38" spans="1:7" ht="15.75">
      <c r="A38" s="36"/>
      <c r="B38" s="36"/>
      <c r="C38" s="40"/>
      <c r="D38" s="41"/>
      <c r="E38" s="42"/>
      <c r="F38" s="29" t="s">
        <v>47</v>
      </c>
      <c r="G38" s="30"/>
    </row>
    <row r="39" spans="1:7" ht="15.75">
      <c r="A39" s="37" t="s">
        <v>207</v>
      </c>
      <c r="B39" s="39"/>
      <c r="C39" s="57" t="s">
        <v>197</v>
      </c>
      <c r="D39" s="57"/>
      <c r="E39" s="57"/>
      <c r="F39" s="58" t="s">
        <v>197</v>
      </c>
      <c r="G39" s="59"/>
    </row>
    <row r="40" spans="1:7" ht="15.75">
      <c r="A40" s="48" t="s">
        <v>58</v>
      </c>
      <c r="B40" s="49"/>
      <c r="C40" s="50" t="s">
        <v>212</v>
      </c>
      <c r="D40" s="51"/>
      <c r="E40" s="52"/>
      <c r="F40" s="31" t="s">
        <v>140</v>
      </c>
      <c r="G40" s="32"/>
    </row>
    <row r="41" spans="1:7" ht="15.75">
      <c r="A41" s="31" t="s">
        <v>74</v>
      </c>
      <c r="B41" s="32"/>
      <c r="C41" s="31" t="s">
        <v>211</v>
      </c>
      <c r="D41" s="33"/>
      <c r="E41" s="32"/>
      <c r="F41" s="31" t="s">
        <v>126</v>
      </c>
      <c r="G41" s="32"/>
    </row>
  </sheetData>
  <mergeCells count="36">
    <mergeCell ref="A29:C29"/>
    <mergeCell ref="A22:C22"/>
    <mergeCell ref="A27:C27"/>
    <mergeCell ref="A28:C28"/>
    <mergeCell ref="A26:C26"/>
    <mergeCell ref="A23:C23"/>
    <mergeCell ref="A24:C24"/>
    <mergeCell ref="A25:C25"/>
    <mergeCell ref="A18:C18"/>
    <mergeCell ref="A7:C7"/>
    <mergeCell ref="A8:C8"/>
    <mergeCell ref="A9:C9"/>
    <mergeCell ref="A10:C10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17:C17"/>
    <mergeCell ref="A40:B40"/>
    <mergeCell ref="C40:E40"/>
    <mergeCell ref="F40:G40"/>
    <mergeCell ref="F37:G37"/>
    <mergeCell ref="C37:E38"/>
    <mergeCell ref="F38:G38"/>
    <mergeCell ref="C39:E39"/>
    <mergeCell ref="F39:G39"/>
    <mergeCell ref="A39:B39"/>
    <mergeCell ref="A37:B38"/>
    <mergeCell ref="A41:B41"/>
    <mergeCell ref="C41:E41"/>
    <mergeCell ref="F41:G4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9">
      <selection activeCell="A36" sqref="A36:G39"/>
    </sheetView>
  </sheetViews>
  <sheetFormatPr defaultColWidth="9.140625" defaultRowHeight="12.75"/>
  <cols>
    <col min="2" max="2" width="13.00390625" style="0" customWidth="1"/>
    <col min="3" max="3" width="7.00390625" style="0" customWidth="1"/>
    <col min="4" max="4" width="11.57421875" style="0" customWidth="1"/>
    <col min="5" max="5" width="15.140625" style="0" customWidth="1"/>
    <col min="6" max="6" width="13.57421875" style="0" customWidth="1"/>
    <col min="7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98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182</v>
      </c>
      <c r="F8" s="13" t="s">
        <v>87</v>
      </c>
      <c r="G8" s="7">
        <f>182/160</f>
        <v>1.1375</v>
      </c>
    </row>
    <row r="9" spans="1:7" ht="15.75" customHeight="1">
      <c r="A9" s="34" t="s">
        <v>5</v>
      </c>
      <c r="B9" s="35"/>
      <c r="C9" s="35"/>
      <c r="D9" s="5">
        <v>25</v>
      </c>
      <c r="E9" s="4">
        <v>44</v>
      </c>
      <c r="F9" s="13" t="s">
        <v>49</v>
      </c>
      <c r="G9" s="7">
        <f>44/25</f>
        <v>1.76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63</v>
      </c>
      <c r="F10" s="13" t="s">
        <v>99</v>
      </c>
      <c r="G10" s="7">
        <v>0.63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45</v>
      </c>
      <c r="F11" s="13" t="s">
        <v>69</v>
      </c>
      <c r="G11" s="7">
        <f>45/40</f>
        <v>1.125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574</v>
      </c>
      <c r="F12" s="13" t="s">
        <v>100</v>
      </c>
      <c r="G12" s="7">
        <f>574/500</f>
        <v>1.148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20</v>
      </c>
      <c r="F13" s="13" t="s">
        <v>28</v>
      </c>
      <c r="G13" s="7">
        <v>1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80</v>
      </c>
      <c r="F14" s="13" t="s">
        <v>41</v>
      </c>
      <c r="G14" s="7">
        <f>80/70</f>
        <v>1.1428571428571428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24</v>
      </c>
      <c r="F15" s="13" t="s">
        <v>64</v>
      </c>
      <c r="G15" s="7">
        <f>24/25</f>
        <v>0.96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51</v>
      </c>
      <c r="F16" s="13" t="s">
        <v>34</v>
      </c>
      <c r="G16" s="7">
        <f>51/50</f>
        <v>1.02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27</v>
      </c>
      <c r="F17" s="13" t="s">
        <v>52</v>
      </c>
      <c r="G17" s="7">
        <f>27/18</f>
        <v>1.5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92</v>
      </c>
      <c r="F18" s="13" t="s">
        <v>87</v>
      </c>
      <c r="G18" s="7">
        <f>92/70</f>
        <v>1.3142857142857143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384</v>
      </c>
      <c r="F19" s="13" t="s">
        <v>75</v>
      </c>
      <c r="G19" s="7">
        <f>384/450</f>
        <v>0.8533333333333334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393</v>
      </c>
      <c r="F20" s="13" t="s">
        <v>78</v>
      </c>
      <c r="G20" s="7">
        <f>393/400</f>
        <v>0.9825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86</v>
      </c>
      <c r="F21" s="14" t="s">
        <v>35</v>
      </c>
      <c r="G21" s="9">
        <f>86/80</f>
        <v>1.075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304</v>
      </c>
      <c r="F22" s="13" t="s">
        <v>101</v>
      </c>
      <c r="G22" s="7">
        <f>304/200</f>
        <v>1.52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550</v>
      </c>
      <c r="F23" s="13" t="s">
        <v>103</v>
      </c>
      <c r="G23" s="7">
        <f>550/300</f>
        <v>1.8333333333333333</v>
      </c>
    </row>
    <row r="24" spans="1:7" ht="15.75" customHeight="1">
      <c r="A24" s="34" t="s">
        <v>20</v>
      </c>
      <c r="B24" s="35"/>
      <c r="C24" s="35"/>
      <c r="D24" s="5">
        <v>15</v>
      </c>
      <c r="E24" s="4" t="s">
        <v>59</v>
      </c>
      <c r="F24" s="13" t="s">
        <v>43</v>
      </c>
      <c r="G24" s="7">
        <v>0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159</v>
      </c>
      <c r="F25" s="13" t="s">
        <v>102</v>
      </c>
      <c r="G25" s="7">
        <f>159/180</f>
        <v>0.8833333333333333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245</v>
      </c>
      <c r="F26" s="13" t="s">
        <v>73</v>
      </c>
      <c r="G26" s="7">
        <f>245/230</f>
        <v>1.065217391304348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22</v>
      </c>
      <c r="F27" s="15" t="s">
        <v>76</v>
      </c>
      <c r="G27" s="8">
        <f>22/35</f>
        <v>0.6285714285714286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56</v>
      </c>
      <c r="F28" s="13" t="s">
        <v>36</v>
      </c>
      <c r="G28" s="7">
        <f>56/45</f>
        <v>1.2444444444444445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3401</v>
      </c>
      <c r="F29" s="13" t="s">
        <v>104</v>
      </c>
      <c r="G29" s="7">
        <f>3401/3013</f>
        <v>1.1287753070029871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97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31" t="s">
        <v>91</v>
      </c>
      <c r="B38" s="32"/>
      <c r="C38" s="31" t="s">
        <v>92</v>
      </c>
      <c r="D38" s="33"/>
      <c r="E38" s="32"/>
      <c r="F38" s="31" t="s">
        <v>93</v>
      </c>
      <c r="G38" s="32"/>
    </row>
    <row r="39" spans="1:7" ht="15.75">
      <c r="A39" s="31" t="s">
        <v>74</v>
      </c>
      <c r="B39" s="32"/>
      <c r="C39" s="31" t="s">
        <v>95</v>
      </c>
      <c r="D39" s="33"/>
      <c r="E39" s="32"/>
      <c r="F39" s="31" t="s">
        <v>94</v>
      </c>
      <c r="G39" s="32"/>
    </row>
  </sheetData>
  <mergeCells count="33">
    <mergeCell ref="A29:C29"/>
    <mergeCell ref="F36:G36"/>
    <mergeCell ref="F37:G37"/>
    <mergeCell ref="A38:B38"/>
    <mergeCell ref="C38:E38"/>
    <mergeCell ref="F38:G38"/>
    <mergeCell ref="A36:B37"/>
    <mergeCell ref="C36:E37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A18:C18"/>
    <mergeCell ref="A19:C19"/>
    <mergeCell ref="A20:C20"/>
    <mergeCell ref="A21:C21"/>
    <mergeCell ref="A39:B39"/>
    <mergeCell ref="C39:E39"/>
    <mergeCell ref="F39:G39"/>
    <mergeCell ref="A22:C22"/>
    <mergeCell ref="A27:C27"/>
    <mergeCell ref="A28:C28"/>
    <mergeCell ref="A26:C26"/>
    <mergeCell ref="A23:C23"/>
    <mergeCell ref="A24:C24"/>
    <mergeCell ref="A25:C2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1" sqref="A1:G43"/>
    </sheetView>
  </sheetViews>
  <sheetFormatPr defaultColWidth="9.140625" defaultRowHeight="12.75"/>
  <cols>
    <col min="2" max="2" width="13.00390625" style="0" customWidth="1"/>
    <col min="3" max="3" width="8.28125" style="0" customWidth="1"/>
    <col min="4" max="4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105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f>92+75+6+5</f>
        <v>178</v>
      </c>
      <c r="F8" s="13" t="s">
        <v>77</v>
      </c>
      <c r="G8" s="7">
        <f>178/160</f>
        <v>1.1125</v>
      </c>
    </row>
    <row r="9" spans="1:7" ht="15.75" customHeight="1">
      <c r="A9" s="34" t="s">
        <v>5</v>
      </c>
      <c r="B9" s="35"/>
      <c r="C9" s="35"/>
      <c r="D9" s="5">
        <v>25</v>
      </c>
      <c r="E9" s="4">
        <v>52</v>
      </c>
      <c r="F9" s="13" t="s">
        <v>106</v>
      </c>
      <c r="G9" s="7">
        <f>52/25</f>
        <v>2.08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89</v>
      </c>
      <c r="F10" s="13" t="s">
        <v>107</v>
      </c>
      <c r="G10" s="7">
        <v>0.89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42</v>
      </c>
      <c r="F11" s="13" t="s">
        <v>37</v>
      </c>
      <c r="G11" s="7">
        <f>42/40</f>
        <v>1.05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f>341+97+90+16</f>
        <v>544</v>
      </c>
      <c r="F12" s="13" t="s">
        <v>108</v>
      </c>
      <c r="G12" s="7">
        <f>544/500</f>
        <v>1.088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28</v>
      </c>
      <c r="F13" s="13" t="s">
        <v>38</v>
      </c>
      <c r="G13" s="7">
        <f>28/20</f>
        <v>1.4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104</v>
      </c>
      <c r="F14" s="13" t="s">
        <v>63</v>
      </c>
      <c r="G14" s="7">
        <f>104/70</f>
        <v>1.4857142857142858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31</v>
      </c>
      <c r="F15" s="13" t="s">
        <v>35</v>
      </c>
      <c r="G15" s="7">
        <f>31/25</f>
        <v>1.24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50</v>
      </c>
      <c r="F16" s="13" t="s">
        <v>28</v>
      </c>
      <c r="G16" s="7">
        <v>1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32</v>
      </c>
      <c r="F17" s="13" t="s">
        <v>84</v>
      </c>
      <c r="G17" s="7">
        <f>32/18</f>
        <v>1.7777777777777777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89</v>
      </c>
      <c r="F18" s="13" t="s">
        <v>49</v>
      </c>
      <c r="G18" s="7">
        <f>89/70</f>
        <v>1.2714285714285714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f>362+12+3</f>
        <v>377</v>
      </c>
      <c r="F19" s="13" t="s">
        <v>109</v>
      </c>
      <c r="G19" s="7">
        <f>377/450</f>
        <v>0.8377777777777777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451</v>
      </c>
      <c r="F20" s="13" t="s">
        <v>110</v>
      </c>
      <c r="G20" s="7">
        <f>451/400</f>
        <v>1.1275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f>21+25+4+9+3+27</f>
        <v>89</v>
      </c>
      <c r="F21" s="14" t="s">
        <v>52</v>
      </c>
      <c r="G21" s="9">
        <f>89/80</f>
        <v>1.1125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284</v>
      </c>
      <c r="F22" s="13" t="s">
        <v>111</v>
      </c>
      <c r="G22" s="7">
        <f>284/200</f>
        <v>1.42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f>217+56+138+42+22</f>
        <v>475</v>
      </c>
      <c r="F23" s="13" t="s">
        <v>112</v>
      </c>
      <c r="G23" s="7">
        <f>475/300</f>
        <v>1.5833333333333333</v>
      </c>
    </row>
    <row r="24" spans="1:7" ht="15.75" customHeight="1">
      <c r="A24" s="34" t="s">
        <v>20</v>
      </c>
      <c r="B24" s="35"/>
      <c r="C24" s="35"/>
      <c r="D24" s="5">
        <v>15</v>
      </c>
      <c r="E24" s="4" t="s">
        <v>59</v>
      </c>
      <c r="F24" s="13" t="s">
        <v>43</v>
      </c>
      <c r="G24" s="7">
        <v>0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134</v>
      </c>
      <c r="F25" s="13" t="s">
        <v>113</v>
      </c>
      <c r="G25" s="7">
        <f>134/180</f>
        <v>0.7444444444444445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246</v>
      </c>
      <c r="F26" s="13" t="s">
        <v>54</v>
      </c>
      <c r="G26" s="7">
        <f>246/230</f>
        <v>1.0695652173913044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25</v>
      </c>
      <c r="F27" s="15" t="s">
        <v>61</v>
      </c>
      <c r="G27" s="8">
        <f>25/35</f>
        <v>0.7142857142857143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65</v>
      </c>
      <c r="F28" s="13" t="s">
        <v>72</v>
      </c>
      <c r="G28" s="7">
        <f>65/45</f>
        <v>1.4444444444444444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3385</v>
      </c>
      <c r="F29" s="13" t="s">
        <v>114</v>
      </c>
      <c r="G29" s="7">
        <f>3385/3013</f>
        <v>1.1234649850647196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115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31" t="s">
        <v>91</v>
      </c>
      <c r="B38" s="32"/>
      <c r="C38" s="31" t="s">
        <v>92</v>
      </c>
      <c r="D38" s="33"/>
      <c r="E38" s="32"/>
      <c r="F38" s="31" t="s">
        <v>93</v>
      </c>
      <c r="G38" s="32"/>
    </row>
    <row r="39" spans="1:7" ht="15.75">
      <c r="A39" s="31" t="s">
        <v>74</v>
      </c>
      <c r="B39" s="32"/>
      <c r="C39" s="31" t="s">
        <v>95</v>
      </c>
      <c r="D39" s="33"/>
      <c r="E39" s="32"/>
      <c r="F39" s="31" t="s">
        <v>94</v>
      </c>
      <c r="G39" s="32"/>
    </row>
  </sheetData>
  <mergeCells count="33">
    <mergeCell ref="A21:C21"/>
    <mergeCell ref="A22:C22"/>
    <mergeCell ref="A27:C27"/>
    <mergeCell ref="A28:C28"/>
    <mergeCell ref="A26:C26"/>
    <mergeCell ref="A23:C23"/>
    <mergeCell ref="A24:C24"/>
    <mergeCell ref="A20:C20"/>
    <mergeCell ref="A12:C12"/>
    <mergeCell ref="A13:C13"/>
    <mergeCell ref="A14:C14"/>
    <mergeCell ref="A15:C15"/>
    <mergeCell ref="A16:C16"/>
    <mergeCell ref="A38:B38"/>
    <mergeCell ref="A17:C17"/>
    <mergeCell ref="A7:C7"/>
    <mergeCell ref="A8:C8"/>
    <mergeCell ref="A9:C9"/>
    <mergeCell ref="A10:C10"/>
    <mergeCell ref="A25:C25"/>
    <mergeCell ref="A11:C11"/>
    <mergeCell ref="A18:C18"/>
    <mergeCell ref="A19:C19"/>
    <mergeCell ref="A29:C29"/>
    <mergeCell ref="F39:G39"/>
    <mergeCell ref="A39:B39"/>
    <mergeCell ref="C39:E39"/>
    <mergeCell ref="F36:G36"/>
    <mergeCell ref="C36:E37"/>
    <mergeCell ref="F37:G37"/>
    <mergeCell ref="C38:E38"/>
    <mergeCell ref="A36:B37"/>
    <mergeCell ref="F38:G3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7" sqref="K7"/>
    </sheetView>
  </sheetViews>
  <sheetFormatPr defaultColWidth="9.140625" defaultRowHeight="12.75"/>
  <cols>
    <col min="2" max="2" width="9.8515625" style="0" customWidth="1"/>
    <col min="3" max="3" width="7.8515625" style="0" customWidth="1"/>
    <col min="4" max="4" width="12.7109375" style="0" customWidth="1"/>
    <col min="5" max="5" width="14.57421875" style="0" customWidth="1"/>
    <col min="6" max="6" width="15.421875" style="0" customWidth="1"/>
    <col min="7" max="7" width="13.57421875" style="0" customWidth="1"/>
  </cols>
  <sheetData>
    <row r="1" ht="12.75">
      <c r="E1" t="s">
        <v>30</v>
      </c>
    </row>
    <row r="2" ht="15.75">
      <c r="G2" s="12" t="s">
        <v>0</v>
      </c>
    </row>
    <row r="3" spans="1:7" ht="15.75">
      <c r="A3" s="10"/>
      <c r="B3" s="10"/>
      <c r="C3" s="10"/>
      <c r="D3" s="10"/>
      <c r="E3" s="1" t="s">
        <v>1</v>
      </c>
      <c r="F3" s="10"/>
      <c r="G3" s="10"/>
    </row>
    <row r="4" spans="1:7" ht="15.75">
      <c r="A4" s="10"/>
      <c r="B4" s="10"/>
      <c r="C4" s="10"/>
      <c r="D4" s="10"/>
      <c r="E4" s="1" t="s">
        <v>2</v>
      </c>
      <c r="F4" s="10"/>
      <c r="G4" s="10"/>
    </row>
    <row r="5" spans="1:7" ht="15.75">
      <c r="A5" s="10"/>
      <c r="B5" s="10"/>
      <c r="C5" s="10"/>
      <c r="D5" s="10"/>
      <c r="E5" s="1" t="s">
        <v>142</v>
      </c>
      <c r="F5" s="10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47.25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>
      <c r="A8" s="34" t="s">
        <v>4</v>
      </c>
      <c r="B8" s="35"/>
      <c r="C8" s="35"/>
      <c r="D8" s="5">
        <v>160</v>
      </c>
      <c r="E8" s="4">
        <v>202</v>
      </c>
      <c r="F8" s="13" t="s">
        <v>71</v>
      </c>
      <c r="G8" s="7">
        <f>202/160</f>
        <v>1.2625</v>
      </c>
    </row>
    <row r="9" spans="1:7" ht="15.75">
      <c r="A9" s="34" t="s">
        <v>5</v>
      </c>
      <c r="B9" s="35"/>
      <c r="C9" s="35"/>
      <c r="D9" s="5">
        <v>25</v>
      </c>
      <c r="E9" s="4">
        <v>31</v>
      </c>
      <c r="F9" s="13" t="s">
        <v>35</v>
      </c>
      <c r="G9" s="7">
        <f>31/25</f>
        <v>1.24</v>
      </c>
    </row>
    <row r="10" spans="1:7" ht="15.75">
      <c r="A10" s="34" t="s">
        <v>6</v>
      </c>
      <c r="B10" s="35"/>
      <c r="C10" s="35"/>
      <c r="D10" s="5">
        <v>100</v>
      </c>
      <c r="E10" s="4">
        <v>83</v>
      </c>
      <c r="F10" s="13" t="s">
        <v>56</v>
      </c>
      <c r="G10" s="7">
        <v>0.83</v>
      </c>
    </row>
    <row r="11" spans="1:7" ht="15.75">
      <c r="A11" s="34" t="s">
        <v>7</v>
      </c>
      <c r="B11" s="35"/>
      <c r="C11" s="35"/>
      <c r="D11" s="5">
        <v>40</v>
      </c>
      <c r="E11" s="4">
        <v>48</v>
      </c>
      <c r="F11" s="13" t="s">
        <v>38</v>
      </c>
      <c r="G11" s="7">
        <f>48/40</f>
        <v>1.2</v>
      </c>
    </row>
    <row r="12" spans="1:7" ht="15.75">
      <c r="A12" s="34" t="s">
        <v>8</v>
      </c>
      <c r="B12" s="35"/>
      <c r="C12" s="35"/>
      <c r="D12" s="5">
        <v>500</v>
      </c>
      <c r="E12" s="4">
        <f>1398/3</f>
        <v>466</v>
      </c>
      <c r="F12" s="13" t="s">
        <v>81</v>
      </c>
      <c r="G12" s="7">
        <f>466/500</f>
        <v>0.932</v>
      </c>
    </row>
    <row r="13" spans="1:7" ht="15.75">
      <c r="A13" s="34" t="s">
        <v>9</v>
      </c>
      <c r="B13" s="35"/>
      <c r="C13" s="35"/>
      <c r="D13" s="5">
        <v>20</v>
      </c>
      <c r="E13" s="4">
        <v>22</v>
      </c>
      <c r="F13" s="13" t="s">
        <v>37</v>
      </c>
      <c r="G13" s="7">
        <f>22/20</f>
        <v>1.1</v>
      </c>
    </row>
    <row r="14" spans="1:7" ht="15.75">
      <c r="A14" s="34" t="s">
        <v>10</v>
      </c>
      <c r="B14" s="35"/>
      <c r="C14" s="35"/>
      <c r="D14" s="5">
        <v>70</v>
      </c>
      <c r="E14" s="4">
        <f>204/3</f>
        <v>68</v>
      </c>
      <c r="F14" s="13" t="s">
        <v>42</v>
      </c>
      <c r="G14" s="7">
        <f>68/70</f>
        <v>0.9714285714285714</v>
      </c>
    </row>
    <row r="15" spans="1:7" ht="15.75">
      <c r="A15" s="34" t="s">
        <v>11</v>
      </c>
      <c r="B15" s="35"/>
      <c r="C15" s="35"/>
      <c r="D15" s="5">
        <v>25</v>
      </c>
      <c r="E15" s="4">
        <v>30</v>
      </c>
      <c r="F15" s="13" t="s">
        <v>69</v>
      </c>
      <c r="G15" s="7">
        <f>30/25</f>
        <v>1.2</v>
      </c>
    </row>
    <row r="16" spans="1:7" ht="15.75">
      <c r="A16" s="34" t="s">
        <v>12</v>
      </c>
      <c r="B16" s="35"/>
      <c r="C16" s="35"/>
      <c r="D16" s="5">
        <v>50</v>
      </c>
      <c r="E16" s="4">
        <v>50</v>
      </c>
      <c r="F16" s="13" t="s">
        <v>28</v>
      </c>
      <c r="G16" s="7">
        <v>1</v>
      </c>
    </row>
    <row r="17" spans="1:7" ht="15.75">
      <c r="A17" s="34" t="s">
        <v>13</v>
      </c>
      <c r="B17" s="35"/>
      <c r="C17" s="35"/>
      <c r="D17" s="5">
        <v>18</v>
      </c>
      <c r="E17" s="4">
        <f>87/3</f>
        <v>29</v>
      </c>
      <c r="F17" s="13" t="s">
        <v>36</v>
      </c>
      <c r="G17" s="7">
        <f>29/18</f>
        <v>1.6111111111111112</v>
      </c>
    </row>
    <row r="18" spans="1:7" ht="15.75">
      <c r="A18" s="34" t="s">
        <v>14</v>
      </c>
      <c r="B18" s="35"/>
      <c r="C18" s="35"/>
      <c r="D18" s="5">
        <v>70</v>
      </c>
      <c r="E18" s="4">
        <v>89</v>
      </c>
      <c r="F18" s="13" t="s">
        <v>49</v>
      </c>
      <c r="G18" s="7">
        <f>89/70</f>
        <v>1.2714285714285714</v>
      </c>
    </row>
    <row r="19" spans="1:7" ht="15.75">
      <c r="A19" s="34" t="s">
        <v>15</v>
      </c>
      <c r="B19" s="35"/>
      <c r="C19" s="35"/>
      <c r="D19" s="5">
        <v>450</v>
      </c>
      <c r="E19" s="4">
        <v>365</v>
      </c>
      <c r="F19" s="13" t="s">
        <v>143</v>
      </c>
      <c r="G19" s="7">
        <f>365/450</f>
        <v>0.8111111111111111</v>
      </c>
    </row>
    <row r="20" spans="1:7" ht="15.75">
      <c r="A20" s="34" t="s">
        <v>16</v>
      </c>
      <c r="B20" s="35"/>
      <c r="C20" s="35"/>
      <c r="D20" s="5">
        <v>400</v>
      </c>
      <c r="E20" s="4">
        <v>430</v>
      </c>
      <c r="F20" s="13" t="s">
        <v>88</v>
      </c>
      <c r="G20" s="7">
        <f>430/400</f>
        <v>1.075</v>
      </c>
    </row>
    <row r="21" spans="1:7" ht="15.75">
      <c r="A21" s="34" t="s">
        <v>17</v>
      </c>
      <c r="B21" s="35"/>
      <c r="C21" s="35"/>
      <c r="D21" s="6">
        <v>80</v>
      </c>
      <c r="E21" s="6">
        <v>92</v>
      </c>
      <c r="F21" s="14" t="s">
        <v>40</v>
      </c>
      <c r="G21" s="9">
        <f>92/80</f>
        <v>1.15</v>
      </c>
    </row>
    <row r="22" spans="1:7" ht="15.75">
      <c r="A22" s="34" t="s">
        <v>18</v>
      </c>
      <c r="B22" s="35"/>
      <c r="C22" s="35"/>
      <c r="D22" s="5">
        <v>200</v>
      </c>
      <c r="E22" s="4">
        <v>208</v>
      </c>
      <c r="F22" s="13" t="s">
        <v>38</v>
      </c>
      <c r="G22" s="7">
        <f>208/200</f>
        <v>1.04</v>
      </c>
    </row>
    <row r="23" spans="1:7" ht="15.75">
      <c r="A23" s="34" t="s">
        <v>19</v>
      </c>
      <c r="B23" s="35"/>
      <c r="C23" s="35"/>
      <c r="D23" s="5">
        <v>300</v>
      </c>
      <c r="E23" s="4">
        <v>351</v>
      </c>
      <c r="F23" s="13" t="s">
        <v>110</v>
      </c>
      <c r="G23" s="7">
        <f>351/300</f>
        <v>1.17</v>
      </c>
    </row>
    <row r="24" spans="1:7" ht="15.75">
      <c r="A24" s="34" t="s">
        <v>20</v>
      </c>
      <c r="B24" s="35"/>
      <c r="C24" s="35"/>
      <c r="D24" s="5">
        <v>15</v>
      </c>
      <c r="E24" s="4">
        <v>0</v>
      </c>
      <c r="F24" s="13" t="s">
        <v>43</v>
      </c>
      <c r="G24" s="7">
        <v>0</v>
      </c>
    </row>
    <row r="25" spans="1:7" ht="15.75">
      <c r="A25" s="34" t="s">
        <v>21</v>
      </c>
      <c r="B25" s="35"/>
      <c r="C25" s="35"/>
      <c r="D25" s="5">
        <v>180</v>
      </c>
      <c r="E25" s="4">
        <v>173</v>
      </c>
      <c r="F25" s="13" t="s">
        <v>78</v>
      </c>
      <c r="G25" s="7">
        <f>173/180</f>
        <v>0.9611111111111111</v>
      </c>
    </row>
    <row r="26" spans="1:7" ht="15.75">
      <c r="A26" s="34" t="s">
        <v>22</v>
      </c>
      <c r="B26" s="35"/>
      <c r="C26" s="35"/>
      <c r="D26" s="5">
        <v>230</v>
      </c>
      <c r="E26" s="4">
        <f>735/3</f>
        <v>245</v>
      </c>
      <c r="F26" s="13" t="s">
        <v>73</v>
      </c>
      <c r="G26" s="7">
        <f>245/230</f>
        <v>1.065217391304348</v>
      </c>
    </row>
    <row r="27" spans="1:7" ht="15.75">
      <c r="A27" s="34" t="s">
        <v>23</v>
      </c>
      <c r="B27" s="35"/>
      <c r="C27" s="35"/>
      <c r="D27" s="5">
        <v>35</v>
      </c>
      <c r="E27" s="4">
        <f>75/3</f>
        <v>25</v>
      </c>
      <c r="F27" s="15" t="s">
        <v>61</v>
      </c>
      <c r="G27" s="8">
        <f>25/35</f>
        <v>0.7142857142857143</v>
      </c>
    </row>
    <row r="28" spans="1:7" ht="15.75">
      <c r="A28" s="34" t="s">
        <v>24</v>
      </c>
      <c r="B28" s="35"/>
      <c r="C28" s="35"/>
      <c r="D28" s="5">
        <v>45</v>
      </c>
      <c r="E28" s="4">
        <f>159/3</f>
        <v>53</v>
      </c>
      <c r="F28" s="13" t="s">
        <v>38</v>
      </c>
      <c r="G28" s="7">
        <f>53/45</f>
        <v>1.1777777777777778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3060</v>
      </c>
      <c r="F29" s="13" t="s">
        <v>144</v>
      </c>
      <c r="G29" s="7">
        <f>3060/3013</f>
        <v>1.0155990706936608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145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48" t="s">
        <v>58</v>
      </c>
      <c r="B38" s="49"/>
      <c r="C38" s="50" t="s">
        <v>139</v>
      </c>
      <c r="D38" s="51"/>
      <c r="E38" s="52"/>
      <c r="F38" s="31" t="s">
        <v>140</v>
      </c>
      <c r="G38" s="32"/>
    </row>
    <row r="39" spans="1:7" ht="15.75">
      <c r="A39" s="31" t="s">
        <v>91</v>
      </c>
      <c r="B39" s="32"/>
      <c r="C39" s="31" t="s">
        <v>146</v>
      </c>
      <c r="D39" s="33"/>
      <c r="E39" s="32"/>
      <c r="F39" s="31" t="s">
        <v>147</v>
      </c>
      <c r="G39" s="32"/>
    </row>
    <row r="40" spans="1:7" ht="15.75">
      <c r="A40" s="31" t="s">
        <v>74</v>
      </c>
      <c r="B40" s="32"/>
      <c r="C40" s="31" t="s">
        <v>148</v>
      </c>
      <c r="D40" s="33"/>
      <c r="E40" s="32"/>
      <c r="F40" s="31" t="s">
        <v>149</v>
      </c>
      <c r="G40" s="32"/>
    </row>
  </sheetData>
  <mergeCells count="36"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6:B37"/>
    <mergeCell ref="C36:E37"/>
    <mergeCell ref="F36:G36"/>
    <mergeCell ref="F37:G37"/>
    <mergeCell ref="A39:B39"/>
    <mergeCell ref="C39:E39"/>
    <mergeCell ref="F39:G39"/>
    <mergeCell ref="A40:B40"/>
    <mergeCell ref="C40:E40"/>
    <mergeCell ref="F40:G40"/>
    <mergeCell ref="A38:B38"/>
    <mergeCell ref="C38:E38"/>
    <mergeCell ref="F38:G3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:G39"/>
    </sheetView>
  </sheetViews>
  <sheetFormatPr defaultColWidth="9.140625" defaultRowHeight="12.75"/>
  <cols>
    <col min="2" max="2" width="9.8515625" style="0" customWidth="1"/>
    <col min="3" max="3" width="7.8515625" style="0" customWidth="1"/>
    <col min="4" max="4" width="12.7109375" style="0" customWidth="1"/>
    <col min="5" max="5" width="14.57421875" style="0" customWidth="1"/>
    <col min="6" max="6" width="15.421875" style="0" customWidth="1"/>
    <col min="7" max="7" width="13.57421875" style="0" customWidth="1"/>
  </cols>
  <sheetData>
    <row r="1" ht="12.75">
      <c r="E1" t="s">
        <v>30</v>
      </c>
    </row>
    <row r="2" ht="15.75">
      <c r="G2" s="12" t="s">
        <v>0</v>
      </c>
    </row>
    <row r="3" spans="1:7" ht="15.75">
      <c r="A3" s="10"/>
      <c r="B3" s="10"/>
      <c r="C3" s="10"/>
      <c r="D3" s="10"/>
      <c r="E3" s="1" t="s">
        <v>1</v>
      </c>
      <c r="F3" s="10"/>
      <c r="G3" s="10"/>
    </row>
    <row r="4" spans="1:7" ht="15.75">
      <c r="A4" s="10"/>
      <c r="B4" s="10"/>
      <c r="C4" s="10"/>
      <c r="D4" s="10"/>
      <c r="E4" s="1" t="s">
        <v>2</v>
      </c>
      <c r="F4" s="10"/>
      <c r="G4" s="10"/>
    </row>
    <row r="5" spans="1:7" ht="15.75">
      <c r="A5" s="10"/>
      <c r="B5" s="10"/>
      <c r="C5" s="10"/>
      <c r="D5" s="10"/>
      <c r="E5" s="1" t="s">
        <v>178</v>
      </c>
      <c r="F5" s="10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47.25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>
      <c r="A8" s="34" t="s">
        <v>4</v>
      </c>
      <c r="B8" s="35"/>
      <c r="C8" s="35"/>
      <c r="D8" s="5">
        <v>160</v>
      </c>
      <c r="E8" s="4">
        <v>187</v>
      </c>
      <c r="F8" s="13" t="s">
        <v>106</v>
      </c>
      <c r="G8" s="7">
        <f>187/160</f>
        <v>1.16875</v>
      </c>
    </row>
    <row r="9" spans="1:7" ht="15.75">
      <c r="A9" s="34" t="s">
        <v>5</v>
      </c>
      <c r="B9" s="35"/>
      <c r="C9" s="35"/>
      <c r="D9" s="5">
        <v>25</v>
      </c>
      <c r="E9" s="4">
        <v>43</v>
      </c>
      <c r="F9" s="13" t="s">
        <v>77</v>
      </c>
      <c r="G9" s="7">
        <f>43/25</f>
        <v>1.72</v>
      </c>
    </row>
    <row r="10" spans="1:7" ht="15.75">
      <c r="A10" s="34" t="s">
        <v>6</v>
      </c>
      <c r="B10" s="35"/>
      <c r="C10" s="35"/>
      <c r="D10" s="5">
        <v>100</v>
      </c>
      <c r="E10" s="4">
        <v>87</v>
      </c>
      <c r="F10" s="13" t="s">
        <v>76</v>
      </c>
      <c r="G10" s="7">
        <v>0.87</v>
      </c>
    </row>
    <row r="11" spans="1:7" ht="15.75">
      <c r="A11" s="34" t="s">
        <v>7</v>
      </c>
      <c r="B11" s="35"/>
      <c r="C11" s="35"/>
      <c r="D11" s="5">
        <v>40</v>
      </c>
      <c r="E11" s="4">
        <v>40</v>
      </c>
      <c r="F11" s="13" t="s">
        <v>28</v>
      </c>
      <c r="G11" s="7">
        <v>1</v>
      </c>
    </row>
    <row r="12" spans="1:7" ht="15.75">
      <c r="A12" s="34" t="s">
        <v>8</v>
      </c>
      <c r="B12" s="35"/>
      <c r="C12" s="35"/>
      <c r="D12" s="5">
        <v>500</v>
      </c>
      <c r="E12" s="4">
        <v>544</v>
      </c>
      <c r="F12" s="13" t="s">
        <v>108</v>
      </c>
      <c r="G12" s="7">
        <f>544/500</f>
        <v>1.088</v>
      </c>
    </row>
    <row r="13" spans="1:7" ht="15.75">
      <c r="A13" s="34" t="s">
        <v>9</v>
      </c>
      <c r="B13" s="35"/>
      <c r="C13" s="35"/>
      <c r="D13" s="5">
        <v>20</v>
      </c>
      <c r="E13" s="4">
        <v>22</v>
      </c>
      <c r="F13" s="13" t="s">
        <v>37</v>
      </c>
      <c r="G13" s="7">
        <f>22/20</f>
        <v>1.1</v>
      </c>
    </row>
    <row r="14" spans="1:7" ht="15.75">
      <c r="A14" s="34" t="s">
        <v>10</v>
      </c>
      <c r="B14" s="35"/>
      <c r="C14" s="35"/>
      <c r="D14" s="5">
        <v>70</v>
      </c>
      <c r="E14" s="4">
        <v>75</v>
      </c>
      <c r="F14" s="13" t="s">
        <v>69</v>
      </c>
      <c r="G14" s="7">
        <f>75/70</f>
        <v>1.0714285714285714</v>
      </c>
    </row>
    <row r="15" spans="1:7" ht="15.75">
      <c r="A15" s="34" t="s">
        <v>11</v>
      </c>
      <c r="B15" s="35"/>
      <c r="C15" s="35"/>
      <c r="D15" s="5">
        <v>25</v>
      </c>
      <c r="E15" s="4">
        <v>29</v>
      </c>
      <c r="F15" s="13" t="s">
        <v>53</v>
      </c>
      <c r="G15" s="7">
        <f>29/25</f>
        <v>1.16</v>
      </c>
    </row>
    <row r="16" spans="1:7" ht="15.75">
      <c r="A16" s="34" t="s">
        <v>12</v>
      </c>
      <c r="B16" s="35"/>
      <c r="C16" s="35"/>
      <c r="D16" s="5">
        <v>50</v>
      </c>
      <c r="E16" s="4">
        <v>51</v>
      </c>
      <c r="F16" s="13" t="s">
        <v>34</v>
      </c>
      <c r="G16" s="7">
        <f>51/50</f>
        <v>1.02</v>
      </c>
    </row>
    <row r="17" spans="1:7" ht="15.75">
      <c r="A17" s="34" t="s">
        <v>13</v>
      </c>
      <c r="B17" s="35"/>
      <c r="C17" s="35"/>
      <c r="D17" s="5">
        <v>18</v>
      </c>
      <c r="E17" s="4">
        <v>32</v>
      </c>
      <c r="F17" s="13" t="s">
        <v>84</v>
      </c>
      <c r="G17" s="7">
        <f>32/18</f>
        <v>1.7777777777777777</v>
      </c>
    </row>
    <row r="18" spans="1:7" ht="15.75">
      <c r="A18" s="34" t="s">
        <v>14</v>
      </c>
      <c r="B18" s="35"/>
      <c r="C18" s="35"/>
      <c r="D18" s="5">
        <v>70</v>
      </c>
      <c r="E18" s="4">
        <v>95</v>
      </c>
      <c r="F18" s="13" t="s">
        <v>68</v>
      </c>
      <c r="G18" s="7">
        <f>95/70</f>
        <v>1.3571428571428572</v>
      </c>
    </row>
    <row r="19" spans="1:7" ht="15.75">
      <c r="A19" s="34" t="s">
        <v>15</v>
      </c>
      <c r="B19" s="35"/>
      <c r="C19" s="35"/>
      <c r="D19" s="5">
        <v>450</v>
      </c>
      <c r="E19" s="4">
        <v>386</v>
      </c>
      <c r="F19" s="13" t="s">
        <v>179</v>
      </c>
      <c r="G19" s="7">
        <f>386/450</f>
        <v>0.8577777777777778</v>
      </c>
    </row>
    <row r="20" spans="1:7" ht="15.75">
      <c r="A20" s="34" t="s">
        <v>16</v>
      </c>
      <c r="B20" s="35"/>
      <c r="C20" s="35"/>
      <c r="D20" s="5">
        <v>400</v>
      </c>
      <c r="E20" s="4">
        <v>436</v>
      </c>
      <c r="F20" s="13" t="s">
        <v>62</v>
      </c>
      <c r="G20" s="7">
        <f>436/400</f>
        <v>1.09</v>
      </c>
    </row>
    <row r="21" spans="1:7" ht="15.75">
      <c r="A21" s="34" t="s">
        <v>17</v>
      </c>
      <c r="B21" s="35"/>
      <c r="C21" s="35"/>
      <c r="D21" s="6">
        <v>80</v>
      </c>
      <c r="E21" s="6">
        <v>90</v>
      </c>
      <c r="F21" s="14" t="s">
        <v>41</v>
      </c>
      <c r="G21" s="9">
        <f>90/80</f>
        <v>1.125</v>
      </c>
    </row>
    <row r="22" spans="1:7" ht="15.75">
      <c r="A22" s="34" t="s">
        <v>18</v>
      </c>
      <c r="B22" s="35"/>
      <c r="C22" s="35"/>
      <c r="D22" s="5">
        <v>200</v>
      </c>
      <c r="E22" s="4">
        <v>209</v>
      </c>
      <c r="F22" s="13" t="s">
        <v>52</v>
      </c>
      <c r="G22" s="7">
        <f>209/200</f>
        <v>1.045</v>
      </c>
    </row>
    <row r="23" spans="1:7" ht="15.75">
      <c r="A23" s="34" t="s">
        <v>19</v>
      </c>
      <c r="B23" s="35"/>
      <c r="C23" s="35"/>
      <c r="D23" s="5">
        <v>300</v>
      </c>
      <c r="E23" s="4">
        <v>281</v>
      </c>
      <c r="F23" s="13" t="s">
        <v>180</v>
      </c>
      <c r="G23" s="7">
        <f>281/300</f>
        <v>0.9366666666666666</v>
      </c>
    </row>
    <row r="24" spans="1:7" ht="15.75">
      <c r="A24" s="34" t="s">
        <v>20</v>
      </c>
      <c r="B24" s="35"/>
      <c r="C24" s="35"/>
      <c r="D24" s="5">
        <v>15</v>
      </c>
      <c r="E24" s="4">
        <v>2</v>
      </c>
      <c r="F24" s="13" t="s">
        <v>76</v>
      </c>
      <c r="G24" s="7">
        <f>2/15</f>
        <v>0.13333333333333333</v>
      </c>
    </row>
    <row r="25" spans="1:7" ht="15.75">
      <c r="A25" s="34" t="s">
        <v>21</v>
      </c>
      <c r="B25" s="35"/>
      <c r="C25" s="35"/>
      <c r="D25" s="5">
        <v>180</v>
      </c>
      <c r="E25" s="4">
        <v>182</v>
      </c>
      <c r="F25" s="13" t="s">
        <v>37</v>
      </c>
      <c r="G25" s="7">
        <f>182/180</f>
        <v>1.011111111111111</v>
      </c>
    </row>
    <row r="26" spans="1:7" ht="15.75">
      <c r="A26" s="34" t="s">
        <v>22</v>
      </c>
      <c r="B26" s="35"/>
      <c r="C26" s="35"/>
      <c r="D26" s="5">
        <v>230</v>
      </c>
      <c r="E26" s="4">
        <v>272</v>
      </c>
      <c r="F26" s="13" t="s">
        <v>71</v>
      </c>
      <c r="G26" s="7">
        <f>272/230</f>
        <v>1.182608695652174</v>
      </c>
    </row>
    <row r="27" spans="1:7" ht="15.75">
      <c r="A27" s="34" t="s">
        <v>23</v>
      </c>
      <c r="B27" s="35"/>
      <c r="C27" s="35"/>
      <c r="D27" s="5">
        <v>35</v>
      </c>
      <c r="E27" s="4">
        <v>13</v>
      </c>
      <c r="F27" s="15" t="s">
        <v>67</v>
      </c>
      <c r="G27" s="8">
        <f>13/35</f>
        <v>0.37142857142857144</v>
      </c>
    </row>
    <row r="28" spans="1:7" ht="15.75">
      <c r="A28" s="34" t="s">
        <v>24</v>
      </c>
      <c r="B28" s="35"/>
      <c r="C28" s="35"/>
      <c r="D28" s="5">
        <v>45</v>
      </c>
      <c r="E28" s="4">
        <v>66</v>
      </c>
      <c r="F28" s="13" t="s">
        <v>65</v>
      </c>
      <c r="G28" s="7">
        <f>66/45</f>
        <v>1.4666666666666666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3142</v>
      </c>
      <c r="F29" s="13" t="s">
        <v>181</v>
      </c>
      <c r="G29" s="7">
        <f>3142/3013</f>
        <v>1.0428144706272817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145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48" t="s">
        <v>58</v>
      </c>
      <c r="B38" s="49"/>
      <c r="C38" s="50" t="s">
        <v>139</v>
      </c>
      <c r="D38" s="51"/>
      <c r="E38" s="52"/>
      <c r="F38" s="31" t="s">
        <v>140</v>
      </c>
      <c r="G38" s="32"/>
    </row>
    <row r="39" spans="1:7" ht="15.75">
      <c r="A39" s="31" t="s">
        <v>74</v>
      </c>
      <c r="B39" s="32"/>
      <c r="C39" s="31" t="s">
        <v>125</v>
      </c>
      <c r="D39" s="33"/>
      <c r="E39" s="32"/>
      <c r="F39" s="31" t="s">
        <v>126</v>
      </c>
      <c r="G39" s="32"/>
    </row>
  </sheetData>
  <mergeCells count="33">
    <mergeCell ref="A39:B39"/>
    <mergeCell ref="C39:E39"/>
    <mergeCell ref="F39:G39"/>
    <mergeCell ref="A38:B38"/>
    <mergeCell ref="C38:E38"/>
    <mergeCell ref="F38:G38"/>
    <mergeCell ref="F36:G36"/>
    <mergeCell ref="F37:G37"/>
    <mergeCell ref="A27:C27"/>
    <mergeCell ref="A28:C28"/>
    <mergeCell ref="A29:C29"/>
    <mergeCell ref="A36:B37"/>
    <mergeCell ref="C36:E37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5">
      <selection activeCell="A40" sqref="A40:B40"/>
    </sheetView>
  </sheetViews>
  <sheetFormatPr defaultColWidth="9.140625" defaultRowHeight="12.75"/>
  <cols>
    <col min="2" max="2" width="9.8515625" style="0" customWidth="1"/>
    <col min="3" max="3" width="7.8515625" style="0" customWidth="1"/>
    <col min="4" max="4" width="12.7109375" style="0" customWidth="1"/>
    <col min="5" max="5" width="14.57421875" style="0" customWidth="1"/>
    <col min="6" max="6" width="15.421875" style="0" customWidth="1"/>
    <col min="7" max="7" width="13.57421875" style="0" customWidth="1"/>
  </cols>
  <sheetData>
    <row r="1" ht="12.75">
      <c r="E1" t="s">
        <v>30</v>
      </c>
    </row>
    <row r="2" ht="15.75">
      <c r="G2" s="12" t="s">
        <v>0</v>
      </c>
    </row>
    <row r="3" spans="1:7" ht="15.75">
      <c r="A3" s="10"/>
      <c r="B3" s="10"/>
      <c r="C3" s="10"/>
      <c r="D3" s="10"/>
      <c r="E3" s="1" t="s">
        <v>1</v>
      </c>
      <c r="F3" s="10"/>
      <c r="G3" s="10"/>
    </row>
    <row r="4" spans="1:7" ht="15.75">
      <c r="A4" s="10"/>
      <c r="B4" s="10"/>
      <c r="C4" s="10"/>
      <c r="D4" s="10"/>
      <c r="E4" s="1" t="s">
        <v>2</v>
      </c>
      <c r="F4" s="10"/>
      <c r="G4" s="10"/>
    </row>
    <row r="5" spans="1:7" ht="15.75">
      <c r="A5" s="10"/>
      <c r="B5" s="10"/>
      <c r="C5" s="10"/>
      <c r="D5" s="10"/>
      <c r="E5" s="1" t="s">
        <v>198</v>
      </c>
      <c r="F5" s="10"/>
      <c r="G5" s="10"/>
    </row>
    <row r="6" spans="1:7" ht="15.75">
      <c r="A6" s="10"/>
      <c r="B6" s="10"/>
      <c r="C6" s="10"/>
      <c r="D6" s="10"/>
      <c r="E6" s="10"/>
      <c r="F6" s="10"/>
      <c r="G6" s="10"/>
    </row>
    <row r="7" spans="1:7" ht="47.25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>
      <c r="A8" s="34" t="s">
        <v>4</v>
      </c>
      <c r="B8" s="35"/>
      <c r="C8" s="35"/>
      <c r="D8" s="5">
        <v>160</v>
      </c>
      <c r="E8" s="4">
        <v>160</v>
      </c>
      <c r="F8" s="13" t="s">
        <v>28</v>
      </c>
      <c r="G8" s="7">
        <v>1</v>
      </c>
    </row>
    <row r="9" spans="1:7" ht="15.75">
      <c r="A9" s="34" t="s">
        <v>5</v>
      </c>
      <c r="B9" s="35"/>
      <c r="C9" s="35"/>
      <c r="D9" s="5">
        <v>25</v>
      </c>
      <c r="E9" s="4">
        <v>73</v>
      </c>
      <c r="F9" s="13" t="s">
        <v>199</v>
      </c>
      <c r="G9" s="7">
        <f>73/25</f>
        <v>2.92</v>
      </c>
    </row>
    <row r="10" spans="1:7" ht="15.75">
      <c r="A10" s="34" t="s">
        <v>6</v>
      </c>
      <c r="B10" s="35"/>
      <c r="C10" s="35"/>
      <c r="D10" s="5">
        <v>100</v>
      </c>
      <c r="E10" s="4">
        <v>76</v>
      </c>
      <c r="F10" s="13" t="s">
        <v>171</v>
      </c>
      <c r="G10" s="7">
        <v>0.76</v>
      </c>
    </row>
    <row r="11" spans="1:7" ht="15.75">
      <c r="A11" s="34" t="s">
        <v>7</v>
      </c>
      <c r="B11" s="35"/>
      <c r="C11" s="35"/>
      <c r="D11" s="5">
        <v>40</v>
      </c>
      <c r="E11" s="4">
        <v>42</v>
      </c>
      <c r="F11" s="13" t="s">
        <v>37</v>
      </c>
      <c r="G11" s="7">
        <f>42/40</f>
        <v>1.05</v>
      </c>
    </row>
    <row r="12" spans="1:7" ht="15.75">
      <c r="A12" s="34" t="s">
        <v>8</v>
      </c>
      <c r="B12" s="35"/>
      <c r="C12" s="35"/>
      <c r="D12" s="5">
        <v>500</v>
      </c>
      <c r="E12" s="4">
        <v>556</v>
      </c>
      <c r="F12" s="13" t="s">
        <v>155</v>
      </c>
      <c r="G12" s="7">
        <f>556/500</f>
        <v>1.112</v>
      </c>
    </row>
    <row r="13" spans="1:7" ht="15.75">
      <c r="A13" s="34" t="s">
        <v>9</v>
      </c>
      <c r="B13" s="35"/>
      <c r="C13" s="35"/>
      <c r="D13" s="5">
        <v>20</v>
      </c>
      <c r="E13" s="4">
        <v>18</v>
      </c>
      <c r="F13" s="13" t="s">
        <v>42</v>
      </c>
      <c r="G13" s="7">
        <f>18/20</f>
        <v>0.9</v>
      </c>
    </row>
    <row r="14" spans="1:7" ht="15.75">
      <c r="A14" s="34" t="s">
        <v>10</v>
      </c>
      <c r="B14" s="35"/>
      <c r="C14" s="35"/>
      <c r="D14" s="5">
        <v>70</v>
      </c>
      <c r="E14" s="4">
        <v>38</v>
      </c>
      <c r="F14" s="13" t="s">
        <v>200</v>
      </c>
      <c r="G14" s="7">
        <f>38/70</f>
        <v>0.5428571428571428</v>
      </c>
    </row>
    <row r="15" spans="1:7" ht="15.75">
      <c r="A15" s="34" t="s">
        <v>11</v>
      </c>
      <c r="B15" s="35"/>
      <c r="C15" s="35"/>
      <c r="D15" s="5">
        <v>25</v>
      </c>
      <c r="E15" s="4">
        <v>22</v>
      </c>
      <c r="F15" s="13" t="s">
        <v>55</v>
      </c>
      <c r="G15" s="7">
        <f>22/25</f>
        <v>0.88</v>
      </c>
    </row>
    <row r="16" spans="1:7" ht="15.75">
      <c r="A16" s="34" t="s">
        <v>12</v>
      </c>
      <c r="B16" s="35"/>
      <c r="C16" s="35"/>
      <c r="D16" s="5">
        <v>50</v>
      </c>
      <c r="E16" s="4">
        <v>50</v>
      </c>
      <c r="F16" s="13" t="s">
        <v>28</v>
      </c>
      <c r="G16" s="7">
        <v>1</v>
      </c>
    </row>
    <row r="17" spans="1:7" ht="15.75">
      <c r="A17" s="34" t="s">
        <v>13</v>
      </c>
      <c r="B17" s="35"/>
      <c r="C17" s="35"/>
      <c r="D17" s="5">
        <v>18</v>
      </c>
      <c r="E17" s="4">
        <v>29</v>
      </c>
      <c r="F17" s="13" t="s">
        <v>36</v>
      </c>
      <c r="G17" s="7">
        <f>29/18</f>
        <v>1.6111111111111112</v>
      </c>
    </row>
    <row r="18" spans="1:7" ht="15.75">
      <c r="A18" s="34" t="s">
        <v>14</v>
      </c>
      <c r="B18" s="35"/>
      <c r="C18" s="35"/>
      <c r="D18" s="5">
        <v>70</v>
      </c>
      <c r="E18" s="4">
        <v>86</v>
      </c>
      <c r="F18" s="13" t="s">
        <v>54</v>
      </c>
      <c r="G18" s="7">
        <f>86/70</f>
        <v>1.2285714285714286</v>
      </c>
    </row>
    <row r="19" spans="1:7" ht="15.75">
      <c r="A19" s="34" t="s">
        <v>15</v>
      </c>
      <c r="B19" s="35"/>
      <c r="C19" s="35"/>
      <c r="D19" s="5">
        <v>450</v>
      </c>
      <c r="E19" s="4">
        <v>401</v>
      </c>
      <c r="F19" s="13" t="s">
        <v>193</v>
      </c>
      <c r="G19" s="7">
        <f>401/450</f>
        <v>0.8911111111111111</v>
      </c>
    </row>
    <row r="20" spans="1:7" ht="15.75">
      <c r="A20" s="34" t="s">
        <v>16</v>
      </c>
      <c r="B20" s="35"/>
      <c r="C20" s="35"/>
      <c r="D20" s="5">
        <v>400</v>
      </c>
      <c r="E20" s="4">
        <v>436</v>
      </c>
      <c r="F20" s="13" t="s">
        <v>62</v>
      </c>
      <c r="G20" s="7">
        <f>436/400</f>
        <v>1.09</v>
      </c>
    </row>
    <row r="21" spans="1:7" ht="15.75">
      <c r="A21" s="34" t="s">
        <v>17</v>
      </c>
      <c r="B21" s="35"/>
      <c r="C21" s="35"/>
      <c r="D21" s="6">
        <v>80</v>
      </c>
      <c r="E21" s="6">
        <v>78</v>
      </c>
      <c r="F21" s="14" t="s">
        <v>42</v>
      </c>
      <c r="G21" s="9">
        <f>78/80</f>
        <v>0.975</v>
      </c>
    </row>
    <row r="22" spans="1:7" ht="15.75">
      <c r="A22" s="34" t="s">
        <v>18</v>
      </c>
      <c r="B22" s="35"/>
      <c r="C22" s="35"/>
      <c r="D22" s="5">
        <v>200</v>
      </c>
      <c r="E22" s="4">
        <v>236</v>
      </c>
      <c r="F22" s="13" t="s">
        <v>62</v>
      </c>
      <c r="G22" s="7">
        <f>236/200</f>
        <v>1.18</v>
      </c>
    </row>
    <row r="23" spans="1:7" ht="15.75">
      <c r="A23" s="34" t="s">
        <v>19</v>
      </c>
      <c r="B23" s="35"/>
      <c r="C23" s="35"/>
      <c r="D23" s="5">
        <v>300</v>
      </c>
      <c r="E23" s="4">
        <v>255</v>
      </c>
      <c r="F23" s="13" t="s">
        <v>201</v>
      </c>
      <c r="G23" s="7">
        <f>255/300</f>
        <v>0.85</v>
      </c>
    </row>
    <row r="24" spans="1:7" ht="15.75">
      <c r="A24" s="34" t="s">
        <v>20</v>
      </c>
      <c r="B24" s="35"/>
      <c r="C24" s="35"/>
      <c r="D24" s="5">
        <v>15</v>
      </c>
      <c r="E24" s="4">
        <v>3</v>
      </c>
      <c r="F24" s="13" t="s">
        <v>202</v>
      </c>
      <c r="G24" s="7">
        <f>3/15</f>
        <v>0.2</v>
      </c>
    </row>
    <row r="25" spans="1:7" ht="15.75">
      <c r="A25" s="34" t="s">
        <v>21</v>
      </c>
      <c r="B25" s="35"/>
      <c r="C25" s="35"/>
      <c r="D25" s="5">
        <v>180</v>
      </c>
      <c r="E25" s="4">
        <v>181</v>
      </c>
      <c r="F25" s="13" t="s">
        <v>34</v>
      </c>
      <c r="G25" s="7">
        <f>181/180</f>
        <v>1.0055555555555555</v>
      </c>
    </row>
    <row r="26" spans="1:7" ht="15.75">
      <c r="A26" s="34" t="s">
        <v>22</v>
      </c>
      <c r="B26" s="35"/>
      <c r="C26" s="35"/>
      <c r="D26" s="5">
        <v>230</v>
      </c>
      <c r="E26" s="4">
        <v>289</v>
      </c>
      <c r="F26" s="13" t="s">
        <v>203</v>
      </c>
      <c r="G26" s="7">
        <f>289/230</f>
        <v>1.2565217391304349</v>
      </c>
    </row>
    <row r="27" spans="1:7" ht="15.75">
      <c r="A27" s="34" t="s">
        <v>23</v>
      </c>
      <c r="B27" s="35"/>
      <c r="C27" s="35"/>
      <c r="D27" s="5">
        <v>35</v>
      </c>
      <c r="E27" s="4">
        <v>11</v>
      </c>
      <c r="F27" s="15" t="s">
        <v>171</v>
      </c>
      <c r="G27" s="8">
        <f>11/35</f>
        <v>0.3142857142857143</v>
      </c>
    </row>
    <row r="28" spans="1:7" ht="15.75">
      <c r="A28" s="34" t="s">
        <v>24</v>
      </c>
      <c r="B28" s="35"/>
      <c r="C28" s="35"/>
      <c r="D28" s="5">
        <v>45</v>
      </c>
      <c r="E28" s="4">
        <v>62</v>
      </c>
      <c r="F28" s="13" t="s">
        <v>172</v>
      </c>
      <c r="G28" s="7">
        <f>62/45</f>
        <v>1.3777777777777778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3102</v>
      </c>
      <c r="F29" s="13" t="s">
        <v>204</v>
      </c>
      <c r="G29" s="7">
        <f>3102/3013</f>
        <v>1.029538665781613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205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37" t="s">
        <v>206</v>
      </c>
      <c r="B38" s="39"/>
      <c r="C38" s="57" t="s">
        <v>191</v>
      </c>
      <c r="D38" s="57"/>
      <c r="E38" s="57"/>
      <c r="F38" s="58" t="s">
        <v>191</v>
      </c>
      <c r="G38" s="59"/>
    </row>
    <row r="39" spans="1:7" ht="15.75">
      <c r="A39" s="37" t="s">
        <v>207</v>
      </c>
      <c r="B39" s="39"/>
      <c r="C39" s="57" t="s">
        <v>197</v>
      </c>
      <c r="D39" s="57"/>
      <c r="E39" s="57"/>
      <c r="F39" s="58" t="s">
        <v>197</v>
      </c>
      <c r="G39" s="59"/>
    </row>
    <row r="40" spans="1:7" ht="15.75">
      <c r="A40" s="31" t="s">
        <v>58</v>
      </c>
      <c r="B40" s="32"/>
      <c r="C40" s="50" t="s">
        <v>139</v>
      </c>
      <c r="D40" s="51"/>
      <c r="E40" s="52"/>
      <c r="F40" s="31" t="s">
        <v>140</v>
      </c>
      <c r="G40" s="32"/>
    </row>
    <row r="41" spans="1:7" ht="15.75">
      <c r="A41" s="31" t="s">
        <v>74</v>
      </c>
      <c r="B41" s="32"/>
      <c r="C41" s="31" t="s">
        <v>125</v>
      </c>
      <c r="D41" s="33"/>
      <c r="E41" s="32"/>
      <c r="F41" s="31" t="s">
        <v>126</v>
      </c>
      <c r="G41" s="32"/>
    </row>
  </sheetData>
  <mergeCells count="39"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36:G36"/>
    <mergeCell ref="F37:G37"/>
    <mergeCell ref="A27:C27"/>
    <mergeCell ref="A28:C28"/>
    <mergeCell ref="A29:C29"/>
    <mergeCell ref="A36:B37"/>
    <mergeCell ref="C36:E37"/>
    <mergeCell ref="A41:B41"/>
    <mergeCell ref="C41:E41"/>
    <mergeCell ref="F41:G41"/>
    <mergeCell ref="A40:B40"/>
    <mergeCell ref="C40:E40"/>
    <mergeCell ref="F40:G40"/>
    <mergeCell ref="A38:B38"/>
    <mergeCell ref="C38:E38"/>
    <mergeCell ref="F38:G38"/>
    <mergeCell ref="A39:B39"/>
    <mergeCell ref="C39:E39"/>
    <mergeCell ref="F39:G3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6">
      <selection activeCell="A38" sqref="A38:G39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127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172</v>
      </c>
      <c r="F8" s="13" t="s">
        <v>40</v>
      </c>
      <c r="G8" s="7">
        <f>172/160</f>
        <v>1.075</v>
      </c>
    </row>
    <row r="9" spans="1:7" ht="15.75" customHeight="1">
      <c r="A9" s="34" t="s">
        <v>5</v>
      </c>
      <c r="B9" s="35"/>
      <c r="C9" s="35"/>
      <c r="D9" s="5">
        <v>25</v>
      </c>
      <c r="E9" s="4">
        <v>31</v>
      </c>
      <c r="F9" s="13" t="s">
        <v>35</v>
      </c>
      <c r="G9" s="7">
        <v>1.24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61</v>
      </c>
      <c r="F10" s="13" t="s">
        <v>128</v>
      </c>
      <c r="G10" s="7">
        <v>0.61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40</v>
      </c>
      <c r="F11" s="13" t="s">
        <v>28</v>
      </c>
      <c r="G11" s="7">
        <v>1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432</v>
      </c>
      <c r="F12" s="13" t="s">
        <v>129</v>
      </c>
      <c r="G12" s="7">
        <f>432/500</f>
        <v>0.864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18</v>
      </c>
      <c r="F13" s="13" t="s">
        <v>42</v>
      </c>
      <c r="G13" s="7">
        <v>0.9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63</v>
      </c>
      <c r="F14" s="13" t="s">
        <v>78</v>
      </c>
      <c r="G14" s="7">
        <f>63/70</f>
        <v>0.9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30</v>
      </c>
      <c r="F15" s="13" t="s">
        <v>69</v>
      </c>
      <c r="G15" s="7">
        <f>30/25</f>
        <v>1.2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48</v>
      </c>
      <c r="F16" s="13" t="s">
        <v>42</v>
      </c>
      <c r="G16" s="7">
        <f>48/50</f>
        <v>0.96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26</v>
      </c>
      <c r="F17" s="13" t="s">
        <v>38</v>
      </c>
      <c r="G17" s="7">
        <f>26/18</f>
        <v>1.4444444444444444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84</v>
      </c>
      <c r="F18" s="13" t="s">
        <v>84</v>
      </c>
      <c r="G18" s="7">
        <f>84/70</f>
        <v>1.2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324</v>
      </c>
      <c r="F19" s="13" t="s">
        <v>130</v>
      </c>
      <c r="G19" s="7">
        <f>324/450</f>
        <v>0.72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408</v>
      </c>
      <c r="F20" s="13" t="s">
        <v>38</v>
      </c>
      <c r="G20" s="7">
        <f>408/400</f>
        <v>1.02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92</v>
      </c>
      <c r="F21" s="14" t="s">
        <v>40</v>
      </c>
      <c r="G21" s="9">
        <f>92/80</f>
        <v>1.15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140</v>
      </c>
      <c r="F22" s="13" t="s">
        <v>131</v>
      </c>
      <c r="G22" s="7">
        <f>140/200</f>
        <v>0.7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308</v>
      </c>
      <c r="F23" s="13" t="s">
        <v>38</v>
      </c>
      <c r="G23" s="7">
        <f>308/300</f>
        <v>1.0266666666666666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0</v>
      </c>
      <c r="F24" s="13" t="s">
        <v>43</v>
      </c>
      <c r="G24" s="7">
        <v>0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178</v>
      </c>
      <c r="F25" s="13" t="s">
        <v>42</v>
      </c>
      <c r="G25" s="7">
        <f>178/180</f>
        <v>0.9888888888888889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237</v>
      </c>
      <c r="F26" s="13" t="s">
        <v>57</v>
      </c>
      <c r="G26" s="7">
        <f>237/230</f>
        <v>1.0304347826086957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20</v>
      </c>
      <c r="F27" s="15" t="s">
        <v>43</v>
      </c>
      <c r="G27" s="8">
        <f>20/35</f>
        <v>0.5714285714285714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39</v>
      </c>
      <c r="F28" s="13" t="s">
        <v>48</v>
      </c>
      <c r="G28" s="7">
        <f>39/45</f>
        <v>0.8666666666666667</v>
      </c>
    </row>
    <row r="29" spans="1:7" ht="15.75">
      <c r="A29" s="43" t="s">
        <v>80</v>
      </c>
      <c r="B29" s="44"/>
      <c r="C29" s="45"/>
      <c r="D29" s="24">
        <f>SUM(D8:D28)</f>
        <v>3013</v>
      </c>
      <c r="E29" s="24">
        <f>SUM(E8:E28)</f>
        <v>2751</v>
      </c>
      <c r="F29" s="25" t="s">
        <v>132</v>
      </c>
      <c r="G29" s="26">
        <f>2751/3013</f>
        <v>0.9130434782608695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133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66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31" t="s">
        <v>91</v>
      </c>
      <c r="B38" s="32"/>
      <c r="C38" s="31" t="s">
        <v>123</v>
      </c>
      <c r="D38" s="33"/>
      <c r="E38" s="32"/>
      <c r="F38" s="31" t="s">
        <v>124</v>
      </c>
      <c r="G38" s="32"/>
    </row>
    <row r="39" spans="1:7" ht="15.75">
      <c r="A39" s="31" t="s">
        <v>74</v>
      </c>
      <c r="B39" s="32"/>
      <c r="C39" s="31" t="s">
        <v>125</v>
      </c>
      <c r="D39" s="33"/>
      <c r="E39" s="32"/>
      <c r="F39" s="31" t="s">
        <v>126</v>
      </c>
      <c r="G39" s="32"/>
    </row>
  </sheetData>
  <mergeCells count="33">
    <mergeCell ref="A21:C21"/>
    <mergeCell ref="A22:C22"/>
    <mergeCell ref="A27:C27"/>
    <mergeCell ref="A28:C28"/>
    <mergeCell ref="A26:C26"/>
    <mergeCell ref="A17:C17"/>
    <mergeCell ref="A18:C18"/>
    <mergeCell ref="A19:C19"/>
    <mergeCell ref="A20:C20"/>
    <mergeCell ref="A7:C7"/>
    <mergeCell ref="A8:C8"/>
    <mergeCell ref="A9:C9"/>
    <mergeCell ref="A10:C10"/>
    <mergeCell ref="A36:B37"/>
    <mergeCell ref="A11:C11"/>
    <mergeCell ref="A12:C12"/>
    <mergeCell ref="A13:C13"/>
    <mergeCell ref="A14:C14"/>
    <mergeCell ref="A23:C23"/>
    <mergeCell ref="A24:C24"/>
    <mergeCell ref="A25:C25"/>
    <mergeCell ref="A15:C15"/>
    <mergeCell ref="A16:C16"/>
    <mergeCell ref="A29:C29"/>
    <mergeCell ref="A39:B39"/>
    <mergeCell ref="C39:E39"/>
    <mergeCell ref="F39:G39"/>
    <mergeCell ref="F36:G36"/>
    <mergeCell ref="C36:E37"/>
    <mergeCell ref="F37:G37"/>
    <mergeCell ref="C38:E38"/>
    <mergeCell ref="F38:G38"/>
    <mergeCell ref="A38:B3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9">
      <selection activeCell="A38" sqref="A38:G39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134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f>29+99+54+14</f>
        <v>196</v>
      </c>
      <c r="F8" s="13" t="s">
        <v>62</v>
      </c>
      <c r="G8" s="7">
        <f>196/160</f>
        <v>1.225</v>
      </c>
    </row>
    <row r="9" spans="1:7" ht="15.75" customHeight="1">
      <c r="A9" s="34" t="s">
        <v>5</v>
      </c>
      <c r="B9" s="35"/>
      <c r="C9" s="35"/>
      <c r="D9" s="5">
        <v>25</v>
      </c>
      <c r="E9" s="4">
        <v>44</v>
      </c>
      <c r="F9" s="13" t="s">
        <v>49</v>
      </c>
      <c r="G9" s="7">
        <f>44/25</f>
        <v>1.76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87</v>
      </c>
      <c r="F10" s="13" t="s">
        <v>76</v>
      </c>
      <c r="G10" s="7">
        <v>0.87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44</v>
      </c>
      <c r="F11" s="13" t="s">
        <v>53</v>
      </c>
      <c r="G11" s="7">
        <f>44/40</f>
        <v>1.1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f>350+65+57+2</f>
        <v>474</v>
      </c>
      <c r="F12" s="13" t="s">
        <v>135</v>
      </c>
      <c r="G12" s="7">
        <f>474/500</f>
        <v>0.948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24</v>
      </c>
      <c r="F13" s="13" t="s">
        <v>53</v>
      </c>
      <c r="G13" s="7">
        <f>24/20</f>
        <v>1.2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43</v>
      </c>
      <c r="F14" s="13" t="s">
        <v>96</v>
      </c>
      <c r="G14" s="7">
        <f>43/70</f>
        <v>0.6142857142857143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27</v>
      </c>
      <c r="F15" s="13" t="s">
        <v>37</v>
      </c>
      <c r="G15" s="7">
        <f>27/25</f>
        <v>1.08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51</v>
      </c>
      <c r="F16" s="13" t="s">
        <v>34</v>
      </c>
      <c r="G16" s="7">
        <f>51/50</f>
        <v>1.02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29</v>
      </c>
      <c r="F17" s="13" t="s">
        <v>36</v>
      </c>
      <c r="G17" s="7">
        <f>29/18</f>
        <v>1.6111111111111112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89</v>
      </c>
      <c r="F18" s="13" t="s">
        <v>49</v>
      </c>
      <c r="G18" s="7">
        <f>89/70</f>
        <v>1.2714285714285714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f>58+50+60+38+69+24+6+16+8</f>
        <v>329</v>
      </c>
      <c r="F19" s="13" t="s">
        <v>136</v>
      </c>
      <c r="G19" s="7">
        <f>329/450</f>
        <v>0.7311111111111112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409</v>
      </c>
      <c r="F20" s="13" t="s">
        <v>52</v>
      </c>
      <c r="G20" s="7">
        <f>409/400</f>
        <v>1.0225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f>31+22+3+10+29</f>
        <v>95</v>
      </c>
      <c r="F21" s="14" t="s">
        <v>73</v>
      </c>
      <c r="G21" s="9">
        <f>95/80</f>
        <v>1.1875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179</v>
      </c>
      <c r="F22" s="13" t="s">
        <v>102</v>
      </c>
      <c r="G22" s="7">
        <f>179/200</f>
        <v>0.895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f>187+21+45+63+11</f>
        <v>327</v>
      </c>
      <c r="F23" s="13" t="s">
        <v>106</v>
      </c>
      <c r="G23" s="7">
        <f>327/300</f>
        <v>1.09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1</v>
      </c>
      <c r="F24" s="13" t="s">
        <v>90</v>
      </c>
      <c r="G24" s="7">
        <f>1/15</f>
        <v>0.06666666666666667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162</v>
      </c>
      <c r="F25" s="13" t="s">
        <v>137</v>
      </c>
      <c r="G25" s="7">
        <f>162/180</f>
        <v>0.9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239</v>
      </c>
      <c r="F26" s="13" t="s">
        <v>52</v>
      </c>
      <c r="G26" s="7">
        <f>239/230</f>
        <v>1.0391304347826087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18</v>
      </c>
      <c r="F27" s="15" t="s">
        <v>56</v>
      </c>
      <c r="G27" s="8">
        <f>18/35</f>
        <v>0.5142857142857142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47</v>
      </c>
      <c r="F28" s="13" t="s">
        <v>37</v>
      </c>
      <c r="G28" s="7">
        <f>47/45</f>
        <v>1.0444444444444445</v>
      </c>
    </row>
    <row r="29" spans="1:7" ht="15.75" customHeight="1">
      <c r="A29" s="43" t="s">
        <v>80</v>
      </c>
      <c r="B29" s="44"/>
      <c r="C29" s="45"/>
      <c r="D29" s="24">
        <f>SUM(D8:D28)</f>
        <v>3013</v>
      </c>
      <c r="E29" s="24">
        <f>SUM(E8:E28)</f>
        <v>2914</v>
      </c>
      <c r="F29" s="25" t="s">
        <v>138</v>
      </c>
      <c r="G29" s="26">
        <f>2914/3013</f>
        <v>0.9671423830069698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141</v>
      </c>
      <c r="F34" s="10"/>
    </row>
    <row r="35" spans="3:6" ht="15.75">
      <c r="C35" s="10"/>
      <c r="D35" s="10"/>
      <c r="E35" s="1"/>
      <c r="F35" s="10"/>
    </row>
    <row r="36" spans="1:7" ht="15.75">
      <c r="A36" s="36"/>
      <c r="B36" s="36"/>
      <c r="C36" s="37" t="s">
        <v>45</v>
      </c>
      <c r="D36" s="38"/>
      <c r="E36" s="39"/>
      <c r="F36" s="27" t="s">
        <v>46</v>
      </c>
      <c r="G36" s="28"/>
    </row>
    <row r="37" spans="1:7" ht="15.75">
      <c r="A37" s="36"/>
      <c r="B37" s="36"/>
      <c r="C37" s="40"/>
      <c r="D37" s="41"/>
      <c r="E37" s="42"/>
      <c r="F37" s="29" t="s">
        <v>47</v>
      </c>
      <c r="G37" s="30"/>
    </row>
    <row r="38" spans="1:7" ht="15.75">
      <c r="A38" s="48" t="s">
        <v>58</v>
      </c>
      <c r="B38" s="49"/>
      <c r="C38" s="50" t="s">
        <v>139</v>
      </c>
      <c r="D38" s="51"/>
      <c r="E38" s="52"/>
      <c r="F38" s="31" t="s">
        <v>140</v>
      </c>
      <c r="G38" s="32"/>
    </row>
    <row r="39" spans="1:7" ht="15.75">
      <c r="A39" s="31" t="s">
        <v>74</v>
      </c>
      <c r="B39" s="32"/>
      <c r="C39" s="31" t="s">
        <v>125</v>
      </c>
      <c r="D39" s="33"/>
      <c r="E39" s="32"/>
      <c r="F39" s="31" t="s">
        <v>126</v>
      </c>
      <c r="G39" s="32"/>
    </row>
  </sheetData>
  <mergeCells count="33">
    <mergeCell ref="C38:E38"/>
    <mergeCell ref="F38:G38"/>
    <mergeCell ref="A36:B37"/>
    <mergeCell ref="C36:E37"/>
    <mergeCell ref="F36:G36"/>
    <mergeCell ref="F37:G37"/>
    <mergeCell ref="A11:C11"/>
    <mergeCell ref="A12:C12"/>
    <mergeCell ref="A13:C13"/>
    <mergeCell ref="A7:C7"/>
    <mergeCell ref="A8:C8"/>
    <mergeCell ref="A9:C9"/>
    <mergeCell ref="A10:C10"/>
    <mergeCell ref="A14:C14"/>
    <mergeCell ref="A23:C23"/>
    <mergeCell ref="A24:C24"/>
    <mergeCell ref="A25:C25"/>
    <mergeCell ref="A15:C15"/>
    <mergeCell ref="A16:C16"/>
    <mergeCell ref="A17:C17"/>
    <mergeCell ref="A18:C18"/>
    <mergeCell ref="A19:C19"/>
    <mergeCell ref="A20:C20"/>
    <mergeCell ref="C39:E39"/>
    <mergeCell ref="F39:G39"/>
    <mergeCell ref="A39:B39"/>
    <mergeCell ref="A21:C21"/>
    <mergeCell ref="A22:C22"/>
    <mergeCell ref="A27:C27"/>
    <mergeCell ref="A28:C28"/>
    <mergeCell ref="A26:C26"/>
    <mergeCell ref="A29:C29"/>
    <mergeCell ref="A38:B3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5">
      <selection activeCell="A38" sqref="A38:G38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150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182</v>
      </c>
      <c r="F8" s="13" t="s">
        <v>87</v>
      </c>
      <c r="G8" s="7">
        <f>182/160</f>
        <v>1.1375</v>
      </c>
    </row>
    <row r="9" spans="1:7" ht="15.75" customHeight="1">
      <c r="A9" s="34" t="s">
        <v>5</v>
      </c>
      <c r="B9" s="35"/>
      <c r="C9" s="35"/>
      <c r="D9" s="5">
        <v>25</v>
      </c>
      <c r="E9" s="4">
        <v>36</v>
      </c>
      <c r="F9" s="13" t="s">
        <v>36</v>
      </c>
      <c r="G9" s="7">
        <f>36/25</f>
        <v>1.44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83</v>
      </c>
      <c r="F10" s="13" t="s">
        <v>56</v>
      </c>
      <c r="G10" s="7">
        <v>0.83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39</v>
      </c>
      <c r="F11" s="13" t="s">
        <v>64</v>
      </c>
      <c r="G11" s="7">
        <f>39/40</f>
        <v>0.975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512</v>
      </c>
      <c r="F12" s="13" t="s">
        <v>40</v>
      </c>
      <c r="G12" s="7">
        <f>512/500</f>
        <v>1.024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16</v>
      </c>
      <c r="F13" s="13" t="s">
        <v>151</v>
      </c>
      <c r="G13" s="7">
        <f>16/20</f>
        <v>0.8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79</v>
      </c>
      <c r="F14" s="13" t="s">
        <v>52</v>
      </c>
      <c r="G14" s="7">
        <f>79/70</f>
        <v>1.1285714285714286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28</v>
      </c>
      <c r="F15" s="13" t="s">
        <v>39</v>
      </c>
      <c r="G15" s="7">
        <f>28/25</f>
        <v>1.12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50</v>
      </c>
      <c r="F16" s="13" t="s">
        <v>28</v>
      </c>
      <c r="G16" s="7">
        <v>1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38</v>
      </c>
      <c r="F17" s="13" t="s">
        <v>72</v>
      </c>
      <c r="G17" s="7">
        <f>38/18</f>
        <v>2.111111111111111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104</v>
      </c>
      <c r="F18" s="13" t="s">
        <v>63</v>
      </c>
      <c r="G18" s="7">
        <f>104/70</f>
        <v>1.4857142857142858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372</v>
      </c>
      <c r="F19" s="13" t="s">
        <v>152</v>
      </c>
      <c r="G19" s="7">
        <f>372/450</f>
        <v>0.8266666666666667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466</v>
      </c>
      <c r="F20" s="13" t="s">
        <v>153</v>
      </c>
      <c r="G20" s="7">
        <f>466/400</f>
        <v>1.165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94</v>
      </c>
      <c r="F21" s="14" t="s">
        <v>84</v>
      </c>
      <c r="G21" s="9">
        <f>94/80</f>
        <v>1.175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186</v>
      </c>
      <c r="F22" s="13" t="s">
        <v>90</v>
      </c>
      <c r="G22" s="7">
        <f>186/200</f>
        <v>0.93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300</v>
      </c>
      <c r="F23" s="13" t="s">
        <v>28</v>
      </c>
      <c r="G23" s="7">
        <v>1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0</v>
      </c>
      <c r="F24" s="13" t="s">
        <v>43</v>
      </c>
      <c r="G24" s="7">
        <v>0</v>
      </c>
    </row>
    <row r="25" spans="1:7" ht="15.75" customHeight="1">
      <c r="A25" s="34" t="s">
        <v>154</v>
      </c>
      <c r="B25" s="35"/>
      <c r="C25" s="35"/>
      <c r="D25" s="5">
        <v>180</v>
      </c>
      <c r="E25" s="4">
        <v>162</v>
      </c>
      <c r="F25" s="13" t="s">
        <v>137</v>
      </c>
      <c r="G25" s="7">
        <f>162/180</f>
        <v>0.9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230</v>
      </c>
      <c r="F26" s="13" t="s">
        <v>28</v>
      </c>
      <c r="G26" s="7">
        <v>1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24</v>
      </c>
      <c r="F27" s="15" t="s">
        <v>107</v>
      </c>
      <c r="G27" s="8">
        <f>24/35</f>
        <v>0.6857142857142857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68</v>
      </c>
      <c r="F28" s="13" t="s">
        <v>79</v>
      </c>
      <c r="G28" s="7">
        <f>68/45</f>
        <v>1.511111111111111</v>
      </c>
    </row>
    <row r="29" spans="1:7" ht="15.75">
      <c r="A29" s="43" t="s">
        <v>80</v>
      </c>
      <c r="B29" s="44"/>
      <c r="C29" s="45"/>
      <c r="D29" s="24">
        <f>SUM(D8:D28)</f>
        <v>3013</v>
      </c>
      <c r="E29" s="24">
        <f>SUM(E8:E28)</f>
        <v>3069</v>
      </c>
      <c r="F29" s="25" t="s">
        <v>155</v>
      </c>
      <c r="G29" s="26">
        <f>3069/3013</f>
        <v>1.0185861267839362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156</v>
      </c>
      <c r="F34" s="10"/>
    </row>
    <row r="35" spans="3:6" ht="15.75">
      <c r="C35" s="10"/>
      <c r="D35" s="10"/>
      <c r="E35" s="1"/>
      <c r="F35" s="10"/>
    </row>
    <row r="36" spans="1:7" ht="15.75">
      <c r="A36" s="53"/>
      <c r="B36" s="54"/>
      <c r="C36" s="37" t="s">
        <v>45</v>
      </c>
      <c r="D36" s="38"/>
      <c r="E36" s="39"/>
      <c r="F36" s="27" t="s">
        <v>46</v>
      </c>
      <c r="G36" s="28"/>
    </row>
    <row r="37" spans="1:7" ht="15.75">
      <c r="A37" s="55"/>
      <c r="B37" s="56"/>
      <c r="C37" s="40"/>
      <c r="D37" s="41"/>
      <c r="E37" s="42"/>
      <c r="F37" s="29" t="s">
        <v>47</v>
      </c>
      <c r="G37" s="30"/>
    </row>
    <row r="38" spans="1:7" ht="15.75">
      <c r="A38" s="48" t="s">
        <v>58</v>
      </c>
      <c r="B38" s="49"/>
      <c r="C38" s="50" t="s">
        <v>139</v>
      </c>
      <c r="D38" s="51"/>
      <c r="E38" s="52"/>
      <c r="F38" s="31" t="s">
        <v>140</v>
      </c>
      <c r="G38" s="32"/>
    </row>
    <row r="39" spans="1:7" ht="15.75">
      <c r="A39" s="31" t="s">
        <v>74</v>
      </c>
      <c r="B39" s="32"/>
      <c r="C39" s="31" t="s">
        <v>125</v>
      </c>
      <c r="D39" s="33"/>
      <c r="E39" s="32"/>
      <c r="F39" s="31" t="s">
        <v>126</v>
      </c>
      <c r="G39" s="32"/>
    </row>
  </sheetData>
  <mergeCells count="33">
    <mergeCell ref="A28:C28"/>
    <mergeCell ref="A26:C26"/>
    <mergeCell ref="A29:C29"/>
    <mergeCell ref="A38:B38"/>
    <mergeCell ref="C38:E38"/>
    <mergeCell ref="A36:B37"/>
    <mergeCell ref="F36:G36"/>
    <mergeCell ref="C36:E37"/>
    <mergeCell ref="F37:G37"/>
    <mergeCell ref="A20:C20"/>
    <mergeCell ref="A21:C21"/>
    <mergeCell ref="A22:C22"/>
    <mergeCell ref="A27:C27"/>
    <mergeCell ref="A23:C23"/>
    <mergeCell ref="A24:C24"/>
    <mergeCell ref="A25:C25"/>
    <mergeCell ref="A16:C16"/>
    <mergeCell ref="A17:C17"/>
    <mergeCell ref="A18:C18"/>
    <mergeCell ref="A19:C19"/>
    <mergeCell ref="A7:C7"/>
    <mergeCell ref="A8:C8"/>
    <mergeCell ref="A9:C9"/>
    <mergeCell ref="A10:C10"/>
    <mergeCell ref="A15:C15"/>
    <mergeCell ref="A11:C11"/>
    <mergeCell ref="A12:C12"/>
    <mergeCell ref="A13:C13"/>
    <mergeCell ref="A14:C14"/>
    <mergeCell ref="F38:G38"/>
    <mergeCell ref="A39:B39"/>
    <mergeCell ref="C39:E39"/>
    <mergeCell ref="F39:G3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9">
      <selection activeCell="A39" sqref="A39:G39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157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185</v>
      </c>
      <c r="F8" s="13" t="s">
        <v>68</v>
      </c>
      <c r="G8" s="7">
        <f>185/160</f>
        <v>1.15625</v>
      </c>
    </row>
    <row r="9" spans="1:7" ht="15.75" customHeight="1">
      <c r="A9" s="34" t="s">
        <v>5</v>
      </c>
      <c r="B9" s="35"/>
      <c r="C9" s="35"/>
      <c r="D9" s="5">
        <v>25</v>
      </c>
      <c r="E9" s="4">
        <v>49</v>
      </c>
      <c r="F9" s="13" t="s">
        <v>51</v>
      </c>
      <c r="G9" s="7">
        <f>49/25</f>
        <v>1.96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84</v>
      </c>
      <c r="F10" s="13" t="s">
        <v>158</v>
      </c>
      <c r="G10" s="7">
        <v>0.84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45</v>
      </c>
      <c r="F11" s="13" t="s">
        <v>69</v>
      </c>
      <c r="G11" s="7">
        <f>45/40</f>
        <v>1.125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545</v>
      </c>
      <c r="F12" s="13" t="s">
        <v>83</v>
      </c>
      <c r="G12" s="7">
        <f>545/500</f>
        <v>1.09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25</v>
      </c>
      <c r="F13" s="13" t="s">
        <v>69</v>
      </c>
      <c r="G13" s="7">
        <f>25/20</f>
        <v>1.25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75</v>
      </c>
      <c r="F14" s="13" t="s">
        <v>69</v>
      </c>
      <c r="G14" s="7">
        <f>75/70</f>
        <v>1.0714285714285714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25</v>
      </c>
      <c r="F15" s="13" t="s">
        <v>28</v>
      </c>
      <c r="G15" s="7">
        <v>1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52</v>
      </c>
      <c r="F16" s="13" t="s">
        <v>37</v>
      </c>
      <c r="G16" s="7">
        <f>52/50</f>
        <v>1.04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31</v>
      </c>
      <c r="F17" s="13" t="s">
        <v>50</v>
      </c>
      <c r="G17" s="7">
        <f>31/18</f>
        <v>1.7222222222222223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94</v>
      </c>
      <c r="F18" s="13" t="s">
        <v>51</v>
      </c>
      <c r="G18" s="7">
        <f>94/70</f>
        <v>1.3428571428571427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f>47+57+13+87+61+23+52+10+4</f>
        <v>354</v>
      </c>
      <c r="F19" s="13" t="s">
        <v>159</v>
      </c>
      <c r="G19" s="7">
        <f>354/450</f>
        <v>0.7866666666666666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400</v>
      </c>
      <c r="F20" s="13" t="s">
        <v>28</v>
      </c>
      <c r="G20" s="7">
        <v>1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95</v>
      </c>
      <c r="F21" s="14" t="s">
        <v>73</v>
      </c>
      <c r="G21" s="9">
        <f>95/80</f>
        <v>1.1875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193</v>
      </c>
      <c r="F22" s="13" t="s">
        <v>78</v>
      </c>
      <c r="G22" s="7">
        <f>193/200</f>
        <v>0.965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279</v>
      </c>
      <c r="F23" s="13" t="s">
        <v>102</v>
      </c>
      <c r="G23" s="7">
        <f>279/300</f>
        <v>0.93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0</v>
      </c>
      <c r="F24" s="13" t="s">
        <v>43</v>
      </c>
      <c r="G24" s="7">
        <v>0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185</v>
      </c>
      <c r="F25" s="13" t="s">
        <v>69</v>
      </c>
      <c r="G25" s="7">
        <f>185/180</f>
        <v>1.0277777777777777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277</v>
      </c>
      <c r="F26" s="13" t="s">
        <v>144</v>
      </c>
      <c r="G26" s="7">
        <f>277/230</f>
        <v>1.2043478260869565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12</v>
      </c>
      <c r="F27" s="15" t="s">
        <v>82</v>
      </c>
      <c r="G27" s="8">
        <f>12/35</f>
        <v>0.34285714285714286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70</v>
      </c>
      <c r="F28" s="13" t="s">
        <v>68</v>
      </c>
      <c r="G28" s="7">
        <f>70/45</f>
        <v>1.5555555555555556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3075</v>
      </c>
      <c r="F29" s="13" t="s">
        <v>160</v>
      </c>
      <c r="G29" s="7">
        <f>3075/3013</f>
        <v>1.0205774975107866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161</v>
      </c>
      <c r="F34" s="10"/>
    </row>
    <row r="35" spans="3:6" ht="15.75">
      <c r="C35" s="10"/>
      <c r="D35" s="10"/>
      <c r="E35" s="1"/>
      <c r="F35" s="10"/>
    </row>
    <row r="36" spans="1:7" ht="15.75">
      <c r="A36" s="53"/>
      <c r="B36" s="54"/>
      <c r="C36" s="37" t="s">
        <v>45</v>
      </c>
      <c r="D36" s="38"/>
      <c r="E36" s="39"/>
      <c r="F36" s="27" t="s">
        <v>46</v>
      </c>
      <c r="G36" s="28"/>
    </row>
    <row r="37" spans="1:7" ht="15.75">
      <c r="A37" s="55"/>
      <c r="B37" s="56"/>
      <c r="C37" s="40"/>
      <c r="D37" s="41"/>
      <c r="E37" s="42"/>
      <c r="F37" s="29" t="s">
        <v>47</v>
      </c>
      <c r="G37" s="30"/>
    </row>
    <row r="38" spans="1:7" ht="15.75">
      <c r="A38" s="48" t="s">
        <v>58</v>
      </c>
      <c r="B38" s="49"/>
      <c r="C38" s="50" t="s">
        <v>139</v>
      </c>
      <c r="D38" s="51"/>
      <c r="E38" s="52"/>
      <c r="F38" s="31" t="s">
        <v>140</v>
      </c>
      <c r="G38" s="32"/>
    </row>
    <row r="39" spans="1:7" ht="15.75">
      <c r="A39" s="31" t="s">
        <v>74</v>
      </c>
      <c r="B39" s="32"/>
      <c r="C39" s="31" t="s">
        <v>125</v>
      </c>
      <c r="D39" s="33"/>
      <c r="E39" s="32"/>
      <c r="F39" s="31" t="s">
        <v>126</v>
      </c>
      <c r="G39" s="32"/>
    </row>
  </sheetData>
  <mergeCells count="33">
    <mergeCell ref="A29:C29"/>
    <mergeCell ref="A38:B38"/>
    <mergeCell ref="C38:E38"/>
    <mergeCell ref="F38:G38"/>
    <mergeCell ref="F36:G36"/>
    <mergeCell ref="C36:E37"/>
    <mergeCell ref="F37:G37"/>
    <mergeCell ref="A36:B37"/>
    <mergeCell ref="A39:B39"/>
    <mergeCell ref="C39:E39"/>
    <mergeCell ref="F39:G39"/>
    <mergeCell ref="A11:C11"/>
    <mergeCell ref="A12:C12"/>
    <mergeCell ref="A13:C13"/>
    <mergeCell ref="A14:C14"/>
    <mergeCell ref="A23:C23"/>
    <mergeCell ref="A24:C24"/>
    <mergeCell ref="A25:C25"/>
    <mergeCell ref="A7:C7"/>
    <mergeCell ref="A8:C8"/>
    <mergeCell ref="A9:C9"/>
    <mergeCell ref="A10:C10"/>
    <mergeCell ref="A15:C15"/>
    <mergeCell ref="A16:C16"/>
    <mergeCell ref="A17:C17"/>
    <mergeCell ref="A18:C18"/>
    <mergeCell ref="A27:C27"/>
    <mergeCell ref="A28:C28"/>
    <mergeCell ref="A26:C26"/>
    <mergeCell ref="A19:C19"/>
    <mergeCell ref="A20:C20"/>
    <mergeCell ref="A21:C21"/>
    <mergeCell ref="A22:C2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6">
      <selection activeCell="A39" sqref="A39:G39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162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193</v>
      </c>
      <c r="F8" s="13" t="s">
        <v>70</v>
      </c>
      <c r="G8" s="7">
        <f>193/160</f>
        <v>1.20625</v>
      </c>
    </row>
    <row r="9" spans="1:7" ht="15.75" customHeight="1">
      <c r="A9" s="34" t="s">
        <v>5</v>
      </c>
      <c r="B9" s="35"/>
      <c r="C9" s="35"/>
      <c r="D9" s="5">
        <v>25</v>
      </c>
      <c r="E9" s="4">
        <v>43</v>
      </c>
      <c r="F9" s="13" t="s">
        <v>77</v>
      </c>
      <c r="G9" s="7">
        <f>43/25</f>
        <v>1.72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93</v>
      </c>
      <c r="F10" s="13" t="s">
        <v>78</v>
      </c>
      <c r="G10" s="7">
        <v>0.93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36</v>
      </c>
      <c r="F11" s="13" t="s">
        <v>151</v>
      </c>
      <c r="G11" s="7">
        <f>36/40</f>
        <v>0.9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575</v>
      </c>
      <c r="F12" s="13" t="s">
        <v>85</v>
      </c>
      <c r="G12" s="7">
        <f>575/500</f>
        <v>1.15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25</v>
      </c>
      <c r="F13" s="13" t="s">
        <v>69</v>
      </c>
      <c r="G13" s="7">
        <f>25/20</f>
        <v>1.25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72</v>
      </c>
      <c r="F14" s="13" t="s">
        <v>37</v>
      </c>
      <c r="G14" s="7">
        <f>72/70</f>
        <v>1.0285714285714285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34</v>
      </c>
      <c r="F15" s="13" t="s">
        <v>52</v>
      </c>
      <c r="G15" s="7">
        <f>34/25</f>
        <v>1.36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52</v>
      </c>
      <c r="F16" s="13" t="s">
        <v>37</v>
      </c>
      <c r="G16" s="7">
        <f>52/50</f>
        <v>1.04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28</v>
      </c>
      <c r="F17" s="13" t="s">
        <v>41</v>
      </c>
      <c r="G17" s="7">
        <f>28/18</f>
        <v>1.5555555555555556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88</v>
      </c>
      <c r="F18" s="13" t="s">
        <v>77</v>
      </c>
      <c r="G18" s="7">
        <f>88/70</f>
        <v>1.2571428571428571</v>
      </c>
    </row>
    <row r="19" spans="1:7" ht="15.75" customHeight="1">
      <c r="A19" s="34" t="s">
        <v>15</v>
      </c>
      <c r="B19" s="35"/>
      <c r="C19" s="35"/>
      <c r="D19" s="5">
        <v>450</v>
      </c>
      <c r="E19" s="23">
        <v>433</v>
      </c>
      <c r="F19" s="13" t="s">
        <v>56</v>
      </c>
      <c r="G19" s="7">
        <f>433/450</f>
        <v>0.9622222222222222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443</v>
      </c>
      <c r="F20" s="13" t="s">
        <v>163</v>
      </c>
      <c r="G20" s="7">
        <f>443/400</f>
        <v>1.1075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80</v>
      </c>
      <c r="F21" s="14" t="s">
        <v>28</v>
      </c>
      <c r="G21" s="9">
        <v>1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249</v>
      </c>
      <c r="F22" s="13" t="s">
        <v>164</v>
      </c>
      <c r="G22" s="7">
        <f>249/200</f>
        <v>1.245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264</v>
      </c>
      <c r="F23" s="13" t="s">
        <v>165</v>
      </c>
      <c r="G23" s="7">
        <f>264/300</f>
        <v>0.88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5</v>
      </c>
      <c r="F24" s="13" t="s">
        <v>61</v>
      </c>
      <c r="G24" s="7">
        <f>5/15</f>
        <v>0.3333333333333333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200</v>
      </c>
      <c r="F25" s="13" t="s">
        <v>72</v>
      </c>
      <c r="G25" s="7">
        <f>200/180</f>
        <v>1.1111111111111112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309</v>
      </c>
      <c r="F26" s="13" t="s">
        <v>117</v>
      </c>
      <c r="G26" s="7">
        <f>309/230</f>
        <v>1.3434782608695652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2</v>
      </c>
      <c r="F27" s="15" t="s">
        <v>166</v>
      </c>
      <c r="G27" s="8">
        <f>2/35</f>
        <v>0.05714285714285714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60</v>
      </c>
      <c r="F28" s="13" t="s">
        <v>73</v>
      </c>
      <c r="G28" s="7">
        <f>60/45</f>
        <v>1.3333333333333333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3284</v>
      </c>
      <c r="F29" s="13" t="s">
        <v>167</v>
      </c>
      <c r="G29" s="7">
        <f>3284/3013</f>
        <v>1.089943577829406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168</v>
      </c>
      <c r="F34" s="10"/>
    </row>
    <row r="35" spans="3:6" ht="15.75">
      <c r="C35" s="10"/>
      <c r="D35" s="10"/>
      <c r="E35" s="1"/>
      <c r="F35" s="10"/>
    </row>
    <row r="36" spans="3:6" ht="15.75">
      <c r="C36" s="10"/>
      <c r="D36" s="10"/>
      <c r="E36" s="1"/>
      <c r="F36" s="10"/>
    </row>
    <row r="37" spans="1:7" ht="15.75">
      <c r="A37" s="53"/>
      <c r="B37" s="54"/>
      <c r="C37" s="37" t="s">
        <v>45</v>
      </c>
      <c r="D37" s="38"/>
      <c r="E37" s="39"/>
      <c r="F37" s="27" t="s">
        <v>46</v>
      </c>
      <c r="G37" s="28"/>
    </row>
    <row r="38" spans="1:7" ht="15.75">
      <c r="A38" s="55"/>
      <c r="B38" s="56"/>
      <c r="C38" s="40"/>
      <c r="D38" s="41"/>
      <c r="E38" s="42"/>
      <c r="F38" s="29" t="s">
        <v>47</v>
      </c>
      <c r="G38" s="30"/>
    </row>
    <row r="39" spans="1:7" ht="15.75">
      <c r="A39" s="31" t="s">
        <v>74</v>
      </c>
      <c r="B39" s="32"/>
      <c r="C39" s="31" t="s">
        <v>125</v>
      </c>
      <c r="D39" s="33"/>
      <c r="E39" s="32"/>
      <c r="F39" s="31" t="s">
        <v>126</v>
      </c>
      <c r="G39" s="32"/>
    </row>
  </sheetData>
  <mergeCells count="30">
    <mergeCell ref="F39:G39"/>
    <mergeCell ref="A21:C21"/>
    <mergeCell ref="A22:C22"/>
    <mergeCell ref="A27:C27"/>
    <mergeCell ref="A28:C28"/>
    <mergeCell ref="A26:C26"/>
    <mergeCell ref="A29:C29"/>
    <mergeCell ref="F38:G38"/>
    <mergeCell ref="F37:G37"/>
    <mergeCell ref="A19:C19"/>
    <mergeCell ref="A20:C20"/>
    <mergeCell ref="A39:B39"/>
    <mergeCell ref="C39:E39"/>
    <mergeCell ref="A37:B38"/>
    <mergeCell ref="C37:E38"/>
    <mergeCell ref="A23:C23"/>
    <mergeCell ref="A24:C24"/>
    <mergeCell ref="A25:C25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E21" sqref="E21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169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163</v>
      </c>
      <c r="F8" s="13" t="s">
        <v>39</v>
      </c>
      <c r="G8" s="7">
        <f>163/160</f>
        <v>1.01875</v>
      </c>
    </row>
    <row r="9" spans="1:7" ht="15.75" customHeight="1">
      <c r="A9" s="34" t="s">
        <v>5</v>
      </c>
      <c r="B9" s="35"/>
      <c r="C9" s="35"/>
      <c r="D9" s="5">
        <v>25</v>
      </c>
      <c r="E9" s="4">
        <v>58</v>
      </c>
      <c r="F9" s="13" t="s">
        <v>70</v>
      </c>
      <c r="G9" s="7">
        <f>58/25</f>
        <v>2.32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90</v>
      </c>
      <c r="F10" s="13" t="s">
        <v>61</v>
      </c>
      <c r="G10" s="7">
        <v>0.9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37</v>
      </c>
      <c r="F11" s="13" t="s">
        <v>55</v>
      </c>
      <c r="G11" s="7">
        <f>37/40</f>
        <v>0.925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602</v>
      </c>
      <c r="F12" s="13" t="s">
        <v>170</v>
      </c>
      <c r="G12" s="7">
        <f>602/500</f>
        <v>1.204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27</v>
      </c>
      <c r="F13" s="13" t="s">
        <v>57</v>
      </c>
      <c r="G13" s="7">
        <f>27/20</f>
        <v>1.35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46</v>
      </c>
      <c r="F14" s="13" t="s">
        <v>171</v>
      </c>
      <c r="G14" s="7">
        <f>46/70</f>
        <v>0.6571428571428571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31</v>
      </c>
      <c r="F15" s="13" t="s">
        <v>35</v>
      </c>
      <c r="G15" s="7">
        <f>31/25</f>
        <v>1.24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49</v>
      </c>
      <c r="F16" s="13" t="s">
        <v>64</v>
      </c>
      <c r="G16" s="7">
        <f>49/50</f>
        <v>0.98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29</v>
      </c>
      <c r="F17" s="13" t="s">
        <v>36</v>
      </c>
      <c r="G17" s="7">
        <f>29/18</f>
        <v>1.6111111111111112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83</v>
      </c>
      <c r="F18" s="13" t="s">
        <v>50</v>
      </c>
      <c r="G18" s="7">
        <f>83/70</f>
        <v>1.1857142857142857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467</v>
      </c>
      <c r="F19" s="13" t="s">
        <v>172</v>
      </c>
      <c r="G19" s="7">
        <f>467/450</f>
        <v>1.0377777777777777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403</v>
      </c>
      <c r="F20" s="13" t="s">
        <v>39</v>
      </c>
      <c r="G20" s="7">
        <f>403/400</f>
        <v>1.0075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70</v>
      </c>
      <c r="F21" s="14" t="s">
        <v>61</v>
      </c>
      <c r="G21" s="9">
        <f>70/80</f>
        <v>0.875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282</v>
      </c>
      <c r="F22" s="13" t="s">
        <v>173</v>
      </c>
      <c r="G22" s="7">
        <f>282/200</f>
        <v>1.41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227</v>
      </c>
      <c r="F23" s="13" t="s">
        <v>109</v>
      </c>
      <c r="G23" s="7">
        <f>227/300</f>
        <v>0.7566666666666667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1</v>
      </c>
      <c r="F24" s="13" t="s">
        <v>90</v>
      </c>
      <c r="G24" s="7">
        <f>1/15</f>
        <v>0.06666666666666667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206</v>
      </c>
      <c r="F25" s="13" t="s">
        <v>174</v>
      </c>
      <c r="G25" s="7">
        <f>206/180</f>
        <v>1.1444444444444444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339</v>
      </c>
      <c r="F26" s="13" t="s">
        <v>175</v>
      </c>
      <c r="G26" s="7">
        <f>339/230</f>
        <v>1.4739130434782608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0</v>
      </c>
      <c r="F27" s="15" t="s">
        <v>44</v>
      </c>
      <c r="G27" s="8">
        <v>0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56</v>
      </c>
      <c r="F28" s="13" t="s">
        <v>36</v>
      </c>
      <c r="G28" s="7">
        <f>56/45</f>
        <v>1.2444444444444445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3266</v>
      </c>
      <c r="F29" s="13" t="s">
        <v>176</v>
      </c>
      <c r="G29" s="7">
        <f>3291/3013</f>
        <v>1.092266843677398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177</v>
      </c>
      <c r="F34" s="10"/>
    </row>
    <row r="35" spans="3:6" ht="15.75">
      <c r="C35" s="10"/>
      <c r="D35" s="10"/>
      <c r="E35" s="1"/>
      <c r="F35" s="10"/>
    </row>
    <row r="36" spans="1:7" ht="15.75">
      <c r="A36" s="53"/>
      <c r="B36" s="54"/>
      <c r="C36" s="37" t="s">
        <v>45</v>
      </c>
      <c r="D36" s="38"/>
      <c r="E36" s="39"/>
      <c r="F36" s="27" t="s">
        <v>46</v>
      </c>
      <c r="G36" s="28"/>
    </row>
    <row r="37" spans="1:7" ht="15.75">
      <c r="A37" s="55"/>
      <c r="B37" s="56"/>
      <c r="C37" s="40"/>
      <c r="D37" s="41"/>
      <c r="E37" s="42"/>
      <c r="F37" s="29" t="s">
        <v>47</v>
      </c>
      <c r="G37" s="30"/>
    </row>
    <row r="38" spans="1:7" ht="15.75">
      <c r="A38" s="31" t="s">
        <v>74</v>
      </c>
      <c r="B38" s="32"/>
      <c r="C38" s="31" t="s">
        <v>125</v>
      </c>
      <c r="D38" s="33"/>
      <c r="E38" s="32"/>
      <c r="F38" s="31" t="s">
        <v>126</v>
      </c>
      <c r="G38" s="32"/>
    </row>
  </sheetData>
  <mergeCells count="30">
    <mergeCell ref="A11:C11"/>
    <mergeCell ref="A12:C12"/>
    <mergeCell ref="A13:C13"/>
    <mergeCell ref="A14:C14"/>
    <mergeCell ref="A7:C7"/>
    <mergeCell ref="A8:C8"/>
    <mergeCell ref="A9:C9"/>
    <mergeCell ref="A10:C10"/>
    <mergeCell ref="A15:C15"/>
    <mergeCell ref="A16:C16"/>
    <mergeCell ref="A17:C17"/>
    <mergeCell ref="A18:C18"/>
    <mergeCell ref="A19:C19"/>
    <mergeCell ref="A20:C20"/>
    <mergeCell ref="A38:B38"/>
    <mergeCell ref="C38:E38"/>
    <mergeCell ref="A36:B37"/>
    <mergeCell ref="C36:E37"/>
    <mergeCell ref="A23:C23"/>
    <mergeCell ref="A24:C24"/>
    <mergeCell ref="A25:C25"/>
    <mergeCell ref="F38:G38"/>
    <mergeCell ref="A21:C21"/>
    <mergeCell ref="A22:C22"/>
    <mergeCell ref="A27:C27"/>
    <mergeCell ref="A28:C28"/>
    <mergeCell ref="A26:C26"/>
    <mergeCell ref="A29:C29"/>
    <mergeCell ref="F37:G37"/>
    <mergeCell ref="F36:G3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5">
      <selection activeCell="A39" sqref="A39:G39"/>
    </sheetView>
  </sheetViews>
  <sheetFormatPr defaultColWidth="9.140625" defaultRowHeight="12.75"/>
  <cols>
    <col min="2" max="2" width="11.00390625" style="0" customWidth="1"/>
    <col min="4" max="4" width="10.421875" style="0" customWidth="1"/>
    <col min="5" max="5" width="15.00390625" style="0" customWidth="1"/>
    <col min="6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182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149</v>
      </c>
      <c r="F8" s="13" t="s">
        <v>107</v>
      </c>
      <c r="G8" s="7">
        <f>149/160</f>
        <v>0.93125</v>
      </c>
    </row>
    <row r="9" spans="1:7" ht="15.75" customHeight="1">
      <c r="A9" s="34" t="s">
        <v>5</v>
      </c>
      <c r="B9" s="35"/>
      <c r="C9" s="35"/>
      <c r="D9" s="5">
        <v>25</v>
      </c>
      <c r="E9" s="4">
        <f>59+56</f>
        <v>115</v>
      </c>
      <c r="F9" s="13" t="s">
        <v>183</v>
      </c>
      <c r="G9" s="7">
        <f>115/25</f>
        <v>4.6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48</v>
      </c>
      <c r="F10" s="13" t="s">
        <v>184</v>
      </c>
      <c r="G10" s="7">
        <v>0.48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57</v>
      </c>
      <c r="F11" s="13" t="s">
        <v>172</v>
      </c>
      <c r="G11" s="7">
        <f>57/40</f>
        <v>1.425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615</v>
      </c>
      <c r="F12" s="13" t="s">
        <v>185</v>
      </c>
      <c r="G12" s="7">
        <f>615/500</f>
        <v>1.23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13</v>
      </c>
      <c r="F13" s="13" t="s">
        <v>78</v>
      </c>
      <c r="G13" s="7">
        <f>13/20</f>
        <v>0.65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0</v>
      </c>
      <c r="F14" s="13" t="s">
        <v>186</v>
      </c>
      <c r="G14" s="7">
        <v>0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15</v>
      </c>
      <c r="F15" s="13" t="s">
        <v>61</v>
      </c>
      <c r="G15" s="7">
        <f>15/25</f>
        <v>0.6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50</v>
      </c>
      <c r="F16" s="13" t="s">
        <v>28</v>
      </c>
      <c r="G16" s="7">
        <v>1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32</v>
      </c>
      <c r="F17" s="13" t="s">
        <v>84</v>
      </c>
      <c r="G17" s="7">
        <f>32/18</f>
        <v>1.7777777777777777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83</v>
      </c>
      <c r="F18" s="13" t="s">
        <v>50</v>
      </c>
      <c r="G18" s="7">
        <f>83/70</f>
        <v>1.1857142857142857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421</v>
      </c>
      <c r="F19" s="13" t="s">
        <v>187</v>
      </c>
      <c r="G19" s="7">
        <f>421/450</f>
        <v>0.9355555555555556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397</v>
      </c>
      <c r="F20" s="13" t="s">
        <v>55</v>
      </c>
      <c r="G20" s="7">
        <f>397/400</f>
        <v>0.9925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78</v>
      </c>
      <c r="F21" s="14" t="s">
        <v>42</v>
      </c>
      <c r="G21" s="9">
        <f>78/80</f>
        <v>0.975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245</v>
      </c>
      <c r="F22" s="13" t="s">
        <v>83</v>
      </c>
      <c r="G22" s="7">
        <f>245/200</f>
        <v>1.225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165</v>
      </c>
      <c r="F23" s="13" t="s">
        <v>188</v>
      </c>
      <c r="G23" s="7">
        <f>165/300</f>
        <v>0.55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7</v>
      </c>
      <c r="F24" s="13" t="s">
        <v>118</v>
      </c>
      <c r="G24" s="7">
        <f>7/15</f>
        <v>0.4666666666666667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164</v>
      </c>
      <c r="F25" s="13" t="s">
        <v>158</v>
      </c>
      <c r="G25" s="7">
        <f>164/180</f>
        <v>0.9111111111111111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270</v>
      </c>
      <c r="F26" s="13" t="s">
        <v>189</v>
      </c>
      <c r="G26" s="7">
        <f>270/230</f>
        <v>1.173913043478261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32</v>
      </c>
      <c r="F27" s="15" t="s">
        <v>55</v>
      </c>
      <c r="G27" s="8">
        <f>32/35</f>
        <v>0.9142857142857143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57</v>
      </c>
      <c r="F28" s="13" t="s">
        <v>40</v>
      </c>
      <c r="G28" s="7">
        <f>57/45</f>
        <v>1.2666666666666666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3013</v>
      </c>
      <c r="F29" s="13" t="s">
        <v>28</v>
      </c>
      <c r="G29" s="7">
        <v>1</v>
      </c>
    </row>
    <row r="30" spans="1:6" ht="12.75">
      <c r="A30" s="17"/>
      <c r="B30" s="17"/>
      <c r="F30" s="16"/>
    </row>
    <row r="32" ht="15.75">
      <c r="G32" s="12" t="s">
        <v>31</v>
      </c>
    </row>
    <row r="33" spans="3:6" ht="15.75">
      <c r="C33" s="10"/>
      <c r="D33" s="10"/>
      <c r="E33" s="1" t="s">
        <v>32</v>
      </c>
      <c r="F33" s="10"/>
    </row>
    <row r="34" spans="3:6" ht="15.75">
      <c r="C34" s="10"/>
      <c r="D34" s="10"/>
      <c r="E34" s="1" t="s">
        <v>33</v>
      </c>
      <c r="F34" s="10"/>
    </row>
    <row r="35" spans="3:6" ht="15.75">
      <c r="C35" s="10"/>
      <c r="D35" s="10"/>
      <c r="E35" s="1" t="s">
        <v>190</v>
      </c>
      <c r="F35" s="10"/>
    </row>
    <row r="36" spans="3:6" ht="15.75">
      <c r="C36" s="10"/>
      <c r="D36" s="10"/>
      <c r="E36" s="1"/>
      <c r="F36" s="10"/>
    </row>
    <row r="37" spans="1:7" ht="15.75">
      <c r="A37" s="53"/>
      <c r="B37" s="54"/>
      <c r="C37" s="37" t="s">
        <v>45</v>
      </c>
      <c r="D37" s="38"/>
      <c r="E37" s="39"/>
      <c r="F37" s="27" t="s">
        <v>46</v>
      </c>
      <c r="G37" s="28"/>
    </row>
    <row r="38" spans="1:7" ht="15.75">
      <c r="A38" s="55"/>
      <c r="B38" s="56"/>
      <c r="C38" s="40"/>
      <c r="D38" s="41"/>
      <c r="E38" s="42"/>
      <c r="F38" s="29" t="s">
        <v>47</v>
      </c>
      <c r="G38" s="30"/>
    </row>
    <row r="39" spans="1:7" ht="15.75">
      <c r="A39" s="37" t="s">
        <v>206</v>
      </c>
      <c r="B39" s="39"/>
      <c r="C39" s="57" t="s">
        <v>191</v>
      </c>
      <c r="D39" s="57"/>
      <c r="E39" s="57"/>
      <c r="F39" s="58" t="s">
        <v>191</v>
      </c>
      <c r="G39" s="59"/>
    </row>
    <row r="40" spans="1:7" ht="15.75">
      <c r="A40" s="31" t="s">
        <v>74</v>
      </c>
      <c r="B40" s="32"/>
      <c r="C40" s="31" t="s">
        <v>125</v>
      </c>
      <c r="D40" s="33"/>
      <c r="E40" s="32"/>
      <c r="F40" s="31" t="s">
        <v>126</v>
      </c>
      <c r="G40" s="32"/>
    </row>
  </sheetData>
  <mergeCells count="33">
    <mergeCell ref="A39:B39"/>
    <mergeCell ref="C39:E39"/>
    <mergeCell ref="F39:G39"/>
    <mergeCell ref="A40:B40"/>
    <mergeCell ref="C40:E40"/>
    <mergeCell ref="F40:G40"/>
    <mergeCell ref="A37:B38"/>
    <mergeCell ref="C37:E38"/>
    <mergeCell ref="F37:G37"/>
    <mergeCell ref="F38:G38"/>
    <mergeCell ref="A21:C21"/>
    <mergeCell ref="A22:C22"/>
    <mergeCell ref="A27:C27"/>
    <mergeCell ref="A28:C28"/>
    <mergeCell ref="A26:C26"/>
    <mergeCell ref="A17:C17"/>
    <mergeCell ref="A18:C18"/>
    <mergeCell ref="A19:C19"/>
    <mergeCell ref="A20:C20"/>
    <mergeCell ref="A7:C7"/>
    <mergeCell ref="A8:C8"/>
    <mergeCell ref="A9:C9"/>
    <mergeCell ref="A10:C10"/>
    <mergeCell ref="A29:C29"/>
    <mergeCell ref="A11:C11"/>
    <mergeCell ref="A12:C12"/>
    <mergeCell ref="A13:C13"/>
    <mergeCell ref="A14:C14"/>
    <mergeCell ref="A23:C23"/>
    <mergeCell ref="A24:C24"/>
    <mergeCell ref="A25:C25"/>
    <mergeCell ref="A15:C15"/>
    <mergeCell ref="A16:C1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9">
      <selection activeCell="A38" sqref="A38:G40"/>
    </sheetView>
  </sheetViews>
  <sheetFormatPr defaultColWidth="9.140625" defaultRowHeight="12.75"/>
  <cols>
    <col min="2" max="2" width="11.00390625" style="0" customWidth="1"/>
    <col min="5" max="7" width="14.57421875" style="0" customWidth="1"/>
  </cols>
  <sheetData>
    <row r="1" ht="12.75">
      <c r="E1" t="s">
        <v>30</v>
      </c>
    </row>
    <row r="2" ht="15.75">
      <c r="G2" s="12" t="s">
        <v>0</v>
      </c>
    </row>
    <row r="3" spans="1:9" ht="18">
      <c r="A3" s="10"/>
      <c r="B3" s="10"/>
      <c r="C3" s="10"/>
      <c r="D3" s="10"/>
      <c r="E3" s="1" t="s">
        <v>1</v>
      </c>
      <c r="F3" s="10"/>
      <c r="G3" s="10"/>
      <c r="H3" s="2"/>
      <c r="I3" s="2"/>
    </row>
    <row r="4" spans="1:9" ht="18">
      <c r="A4" s="10"/>
      <c r="B4" s="10"/>
      <c r="C4" s="10"/>
      <c r="D4" s="10"/>
      <c r="E4" s="1" t="s">
        <v>2</v>
      </c>
      <c r="F4" s="10"/>
      <c r="G4" s="10"/>
      <c r="H4" s="2"/>
      <c r="I4" s="2"/>
    </row>
    <row r="5" spans="1:9" ht="18">
      <c r="A5" s="10"/>
      <c r="B5" s="10"/>
      <c r="C5" s="10"/>
      <c r="D5" s="10"/>
      <c r="E5" s="1" t="s">
        <v>192</v>
      </c>
      <c r="F5" s="10"/>
      <c r="G5" s="10"/>
      <c r="H5" s="2"/>
      <c r="I5" s="2"/>
    </row>
    <row r="6" spans="1:7" ht="15.75">
      <c r="A6" s="10"/>
      <c r="B6" s="10"/>
      <c r="C6" s="10"/>
      <c r="D6" s="10"/>
      <c r="E6" s="10"/>
      <c r="F6" s="10"/>
      <c r="G6" s="10"/>
    </row>
    <row r="7" spans="1:7" ht="39" customHeight="1">
      <c r="A7" s="46" t="s">
        <v>3</v>
      </c>
      <c r="B7" s="47"/>
      <c r="C7" s="47"/>
      <c r="D7" s="3" t="s">
        <v>25</v>
      </c>
      <c r="E7" s="3" t="s">
        <v>26</v>
      </c>
      <c r="F7" s="11" t="s">
        <v>27</v>
      </c>
      <c r="G7" s="11" t="s">
        <v>29</v>
      </c>
    </row>
    <row r="8" spans="1:7" ht="15.75" customHeight="1">
      <c r="A8" s="34" t="s">
        <v>4</v>
      </c>
      <c r="B8" s="35"/>
      <c r="C8" s="35"/>
      <c r="D8" s="5">
        <v>160</v>
      </c>
      <c r="E8" s="4">
        <v>168</v>
      </c>
      <c r="F8" s="13" t="s">
        <v>38</v>
      </c>
      <c r="G8" s="7">
        <f>168/160</f>
        <v>1.05</v>
      </c>
    </row>
    <row r="9" spans="1:7" ht="15.75" customHeight="1">
      <c r="A9" s="34" t="s">
        <v>5</v>
      </c>
      <c r="B9" s="35"/>
      <c r="C9" s="35"/>
      <c r="D9" s="5">
        <v>25</v>
      </c>
      <c r="E9" s="4">
        <v>46</v>
      </c>
      <c r="F9" s="13" t="s">
        <v>65</v>
      </c>
      <c r="G9" s="7">
        <f>46/25</f>
        <v>1.84</v>
      </c>
    </row>
    <row r="10" spans="1:7" ht="15.75" customHeight="1">
      <c r="A10" s="34" t="s">
        <v>6</v>
      </c>
      <c r="B10" s="35"/>
      <c r="C10" s="35"/>
      <c r="D10" s="5">
        <v>100</v>
      </c>
      <c r="E10" s="4">
        <v>91</v>
      </c>
      <c r="F10" s="13" t="s">
        <v>119</v>
      </c>
      <c r="G10" s="7">
        <v>0.91</v>
      </c>
    </row>
    <row r="11" spans="1:7" ht="15.75" customHeight="1">
      <c r="A11" s="34" t="s">
        <v>7</v>
      </c>
      <c r="B11" s="35"/>
      <c r="C11" s="35"/>
      <c r="D11" s="5">
        <v>40</v>
      </c>
      <c r="E11" s="4">
        <v>31</v>
      </c>
      <c r="F11" s="13" t="s">
        <v>119</v>
      </c>
      <c r="G11" s="7">
        <f>31/40</f>
        <v>0.775</v>
      </c>
    </row>
    <row r="12" spans="1:7" ht="15.75" customHeight="1">
      <c r="A12" s="34" t="s">
        <v>8</v>
      </c>
      <c r="B12" s="35"/>
      <c r="C12" s="35"/>
      <c r="D12" s="5">
        <v>500</v>
      </c>
      <c r="E12" s="4">
        <v>451</v>
      </c>
      <c r="F12" s="13" t="s">
        <v>193</v>
      </c>
      <c r="G12" s="7">
        <f>451/500</f>
        <v>0.902</v>
      </c>
    </row>
    <row r="13" spans="1:7" ht="15.75" customHeight="1">
      <c r="A13" s="34" t="s">
        <v>9</v>
      </c>
      <c r="B13" s="35"/>
      <c r="C13" s="35"/>
      <c r="D13" s="5">
        <v>20</v>
      </c>
      <c r="E13" s="4">
        <v>14</v>
      </c>
      <c r="F13" s="13" t="s">
        <v>48</v>
      </c>
      <c r="G13" s="7">
        <f>14/20</f>
        <v>0.7</v>
      </c>
    </row>
    <row r="14" spans="1:7" ht="15.75" customHeight="1">
      <c r="A14" s="34" t="s">
        <v>10</v>
      </c>
      <c r="B14" s="35"/>
      <c r="C14" s="35"/>
      <c r="D14" s="5">
        <v>70</v>
      </c>
      <c r="E14" s="4">
        <v>68</v>
      </c>
      <c r="F14" s="13" t="s">
        <v>42</v>
      </c>
      <c r="G14" s="7">
        <f>68/70</f>
        <v>0.9714285714285714</v>
      </c>
    </row>
    <row r="15" spans="1:7" ht="15.75" customHeight="1">
      <c r="A15" s="34" t="s">
        <v>11</v>
      </c>
      <c r="B15" s="35"/>
      <c r="C15" s="35"/>
      <c r="D15" s="5">
        <v>25</v>
      </c>
      <c r="E15" s="4">
        <v>21</v>
      </c>
      <c r="F15" s="13" t="s">
        <v>151</v>
      </c>
      <c r="G15" s="7">
        <f>21/25</f>
        <v>0.84</v>
      </c>
    </row>
    <row r="16" spans="1:7" ht="15.75" customHeight="1">
      <c r="A16" s="34" t="s">
        <v>12</v>
      </c>
      <c r="B16" s="35"/>
      <c r="C16" s="35"/>
      <c r="D16" s="5">
        <v>50</v>
      </c>
      <c r="E16" s="4">
        <v>52</v>
      </c>
      <c r="F16" s="13" t="s">
        <v>37</v>
      </c>
      <c r="G16" s="7">
        <f>52/50</f>
        <v>1.04</v>
      </c>
    </row>
    <row r="17" spans="1:7" ht="15.75" customHeight="1">
      <c r="A17" s="34" t="s">
        <v>13</v>
      </c>
      <c r="B17" s="35"/>
      <c r="C17" s="35"/>
      <c r="D17" s="5">
        <v>18</v>
      </c>
      <c r="E17" s="4">
        <v>25</v>
      </c>
      <c r="F17" s="13" t="s">
        <v>57</v>
      </c>
      <c r="G17" s="7">
        <f>25/18</f>
        <v>1.3888888888888888</v>
      </c>
    </row>
    <row r="18" spans="1:7" ht="15.75" customHeight="1">
      <c r="A18" s="34" t="s">
        <v>14</v>
      </c>
      <c r="B18" s="35"/>
      <c r="C18" s="35"/>
      <c r="D18" s="5">
        <v>70</v>
      </c>
      <c r="E18" s="4">
        <v>92</v>
      </c>
      <c r="F18" s="13" t="s">
        <v>87</v>
      </c>
      <c r="G18" s="7">
        <f>92/70</f>
        <v>1.3142857142857143</v>
      </c>
    </row>
    <row r="19" spans="1:7" ht="15.75" customHeight="1">
      <c r="A19" s="34" t="s">
        <v>15</v>
      </c>
      <c r="B19" s="35"/>
      <c r="C19" s="35"/>
      <c r="D19" s="5">
        <v>450</v>
      </c>
      <c r="E19" s="4">
        <v>314</v>
      </c>
      <c r="F19" s="13" t="s">
        <v>194</v>
      </c>
      <c r="G19" s="7">
        <f>314/450</f>
        <v>0.6977777777777778</v>
      </c>
    </row>
    <row r="20" spans="1:7" ht="15.75" customHeight="1">
      <c r="A20" s="34" t="s">
        <v>16</v>
      </c>
      <c r="B20" s="35"/>
      <c r="C20" s="35"/>
      <c r="D20" s="5">
        <v>400</v>
      </c>
      <c r="E20" s="4">
        <v>385</v>
      </c>
      <c r="F20" s="13" t="s">
        <v>43</v>
      </c>
      <c r="G20" s="7">
        <f>385/400</f>
        <v>0.9625</v>
      </c>
    </row>
    <row r="21" spans="1:7" ht="31.5" customHeight="1">
      <c r="A21" s="34" t="s">
        <v>17</v>
      </c>
      <c r="B21" s="35"/>
      <c r="C21" s="35"/>
      <c r="D21" s="6">
        <v>80</v>
      </c>
      <c r="E21" s="6">
        <v>85</v>
      </c>
      <c r="F21" s="14" t="s">
        <v>69</v>
      </c>
      <c r="G21" s="9">
        <f>85/80</f>
        <v>1.0625</v>
      </c>
    </row>
    <row r="22" spans="1:7" ht="15.75" customHeight="1">
      <c r="A22" s="34" t="s">
        <v>18</v>
      </c>
      <c r="B22" s="35"/>
      <c r="C22" s="35"/>
      <c r="D22" s="5">
        <v>200</v>
      </c>
      <c r="E22" s="4">
        <v>182</v>
      </c>
      <c r="F22" s="13" t="s">
        <v>137</v>
      </c>
      <c r="G22" s="7">
        <f>182/200</f>
        <v>0.91</v>
      </c>
    </row>
    <row r="23" spans="1:7" ht="15.75" customHeight="1">
      <c r="A23" s="34" t="s">
        <v>19</v>
      </c>
      <c r="B23" s="35"/>
      <c r="C23" s="35"/>
      <c r="D23" s="5">
        <v>300</v>
      </c>
      <c r="E23" s="4">
        <v>374</v>
      </c>
      <c r="F23" s="13" t="s">
        <v>100</v>
      </c>
      <c r="G23" s="7">
        <f>374/300</f>
        <v>1.2466666666666666</v>
      </c>
    </row>
    <row r="24" spans="1:7" ht="15.75" customHeight="1">
      <c r="A24" s="34" t="s">
        <v>20</v>
      </c>
      <c r="B24" s="35"/>
      <c r="C24" s="35"/>
      <c r="D24" s="5">
        <v>15</v>
      </c>
      <c r="E24" s="4">
        <v>1</v>
      </c>
      <c r="F24" s="13" t="s">
        <v>90</v>
      </c>
      <c r="G24" s="7">
        <f>1/15</f>
        <v>0.06666666666666667</v>
      </c>
    </row>
    <row r="25" spans="1:7" ht="15.75" customHeight="1">
      <c r="A25" s="34" t="s">
        <v>21</v>
      </c>
      <c r="B25" s="35"/>
      <c r="C25" s="35"/>
      <c r="D25" s="5">
        <v>180</v>
      </c>
      <c r="E25" s="4">
        <v>174</v>
      </c>
      <c r="F25" s="13" t="s">
        <v>48</v>
      </c>
      <c r="G25" s="7">
        <f>174/180</f>
        <v>0.9666666666666667</v>
      </c>
    </row>
    <row r="26" spans="1:7" ht="15.75" customHeight="1">
      <c r="A26" s="34" t="s">
        <v>22</v>
      </c>
      <c r="B26" s="35"/>
      <c r="C26" s="35"/>
      <c r="D26" s="5">
        <v>230</v>
      </c>
      <c r="E26" s="4">
        <v>258</v>
      </c>
      <c r="F26" s="13" t="s">
        <v>89</v>
      </c>
      <c r="G26" s="7">
        <f>258/230</f>
        <v>1.1217391304347826</v>
      </c>
    </row>
    <row r="27" spans="1:7" ht="15.75" customHeight="1">
      <c r="A27" s="34" t="s">
        <v>23</v>
      </c>
      <c r="B27" s="35"/>
      <c r="C27" s="35"/>
      <c r="D27" s="5">
        <v>35</v>
      </c>
      <c r="E27" s="4">
        <v>1</v>
      </c>
      <c r="F27" s="15" t="s">
        <v>81</v>
      </c>
      <c r="G27" s="8">
        <f>1/35</f>
        <v>0.02857142857142857</v>
      </c>
    </row>
    <row r="28" spans="1:7" ht="15.75" customHeight="1">
      <c r="A28" s="34" t="s">
        <v>24</v>
      </c>
      <c r="B28" s="35"/>
      <c r="C28" s="35"/>
      <c r="D28" s="5">
        <v>45</v>
      </c>
      <c r="E28" s="4">
        <v>74</v>
      </c>
      <c r="F28" s="13" t="s">
        <v>60</v>
      </c>
      <c r="G28" s="7">
        <f>74/45</f>
        <v>1.6444444444444444</v>
      </c>
    </row>
    <row r="29" spans="1:7" ht="15.75">
      <c r="A29" s="34" t="s">
        <v>80</v>
      </c>
      <c r="B29" s="35"/>
      <c r="C29" s="35"/>
      <c r="D29" s="5">
        <f>SUM(D8:D28)</f>
        <v>3013</v>
      </c>
      <c r="E29" s="4">
        <f>SUM(E8:E28)</f>
        <v>2907</v>
      </c>
      <c r="F29" s="13" t="s">
        <v>195</v>
      </c>
      <c r="G29" s="7">
        <f>2907/3013</f>
        <v>0.9648191171589777</v>
      </c>
    </row>
    <row r="31" ht="15.75">
      <c r="G31" s="12" t="s">
        <v>31</v>
      </c>
    </row>
    <row r="32" spans="3:6" ht="15.75">
      <c r="C32" s="10"/>
      <c r="D32" s="10"/>
      <c r="E32" s="1" t="s">
        <v>32</v>
      </c>
      <c r="F32" s="10"/>
    </row>
    <row r="33" spans="3:6" ht="15.75">
      <c r="C33" s="10"/>
      <c r="D33" s="10"/>
      <c r="E33" s="1" t="s">
        <v>33</v>
      </c>
      <c r="F33" s="10"/>
    </row>
    <row r="34" spans="3:6" ht="15.75">
      <c r="C34" s="10"/>
      <c r="D34" s="10"/>
      <c r="E34" s="1" t="s">
        <v>196</v>
      </c>
      <c r="F34" s="10"/>
    </row>
    <row r="35" spans="3:6" ht="15.75">
      <c r="C35" s="10"/>
      <c r="D35" s="10"/>
      <c r="E35" s="1"/>
      <c r="F35" s="10"/>
    </row>
    <row r="36" spans="1:7" ht="15.75">
      <c r="A36" s="53"/>
      <c r="B36" s="54"/>
      <c r="C36" s="37" t="s">
        <v>45</v>
      </c>
      <c r="D36" s="38"/>
      <c r="E36" s="39"/>
      <c r="F36" s="27" t="s">
        <v>46</v>
      </c>
      <c r="G36" s="28"/>
    </row>
    <row r="37" spans="1:7" ht="15.75">
      <c r="A37" s="55"/>
      <c r="B37" s="56"/>
      <c r="C37" s="40"/>
      <c r="D37" s="41"/>
      <c r="E37" s="42"/>
      <c r="F37" s="29" t="s">
        <v>47</v>
      </c>
      <c r="G37" s="30"/>
    </row>
    <row r="38" spans="1:7" ht="15.75">
      <c r="A38" s="37" t="s">
        <v>207</v>
      </c>
      <c r="B38" s="39"/>
      <c r="C38" s="57" t="s">
        <v>197</v>
      </c>
      <c r="D38" s="57"/>
      <c r="E38" s="57"/>
      <c r="F38" s="58" t="s">
        <v>197</v>
      </c>
      <c r="G38" s="59"/>
    </row>
    <row r="39" spans="1:7" ht="15.75">
      <c r="A39" s="48" t="s">
        <v>58</v>
      </c>
      <c r="B39" s="49"/>
      <c r="C39" s="50" t="s">
        <v>139</v>
      </c>
      <c r="D39" s="51"/>
      <c r="E39" s="52"/>
      <c r="F39" s="31" t="s">
        <v>140</v>
      </c>
      <c r="G39" s="32"/>
    </row>
    <row r="40" spans="1:7" ht="15.75">
      <c r="A40" s="31" t="s">
        <v>74</v>
      </c>
      <c r="B40" s="32"/>
      <c r="C40" s="31" t="s">
        <v>125</v>
      </c>
      <c r="D40" s="33"/>
      <c r="E40" s="32"/>
      <c r="F40" s="31" t="s">
        <v>126</v>
      </c>
      <c r="G40" s="32"/>
    </row>
  </sheetData>
  <mergeCells count="36">
    <mergeCell ref="A40:B40"/>
    <mergeCell ref="C40:E40"/>
    <mergeCell ref="F40:G40"/>
    <mergeCell ref="A29:C29"/>
    <mergeCell ref="A39:B39"/>
    <mergeCell ref="C39:E39"/>
    <mergeCell ref="F39:G39"/>
    <mergeCell ref="A36:B37"/>
    <mergeCell ref="F36:G36"/>
    <mergeCell ref="C36:E37"/>
    <mergeCell ref="A11:C11"/>
    <mergeCell ref="A12:C12"/>
    <mergeCell ref="A13:C13"/>
    <mergeCell ref="A7:C7"/>
    <mergeCell ref="A8:C8"/>
    <mergeCell ref="A9:C9"/>
    <mergeCell ref="A10:C10"/>
    <mergeCell ref="A14:C14"/>
    <mergeCell ref="A23:C23"/>
    <mergeCell ref="A24:C24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6:C26"/>
    <mergeCell ref="F37:G37"/>
    <mergeCell ref="C38:E38"/>
    <mergeCell ref="F38:G38"/>
    <mergeCell ref="A38:B3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2020-08-12T07:00:31Z</cp:lastPrinted>
  <dcterms:created xsi:type="dcterms:W3CDTF">1996-10-08T23:32:33Z</dcterms:created>
  <dcterms:modified xsi:type="dcterms:W3CDTF">2020-11-06T09:10:05Z</dcterms:modified>
  <cp:category/>
  <cp:version/>
  <cp:contentType/>
  <cp:contentStatus/>
</cp:coreProperties>
</file>